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filterPrivacy="1" defaultThemeVersion="166925"/>
  <xr:revisionPtr revIDLastSave="0" documentId="13_ncr:1_{422EB166-FF84-47C6-8080-0EA7F13B6C0D}" xr6:coauthVersionLast="47" xr6:coauthVersionMax="47" xr10:uidLastSave="{00000000-0000-0000-0000-000000000000}"/>
  <bookViews>
    <workbookView xWindow="-108" yWindow="-108" windowWidth="23256" windowHeight="12576" tabRatio="945" activeTab="11" xr2:uid="{00000000-000D-0000-FFFF-FFFF00000000}"/>
  </bookViews>
  <sheets>
    <sheet name="Titullapa" sheetId="2" r:id="rId1"/>
    <sheet name="Pieņēmumi" sheetId="3" r:id="rId2"/>
    <sheet name="Projekts" sheetId="4" r:id="rId3"/>
    <sheet name="NPV_Bāze_I" sheetId="5" r:id="rId4"/>
    <sheet name="NPV_Bāze_II" sheetId="13" r:id="rId5"/>
    <sheet name="NPV_PPP_partnerība" sheetId="6" r:id="rId6"/>
    <sheet name="NPV_PPP_koncesija" sheetId="7" r:id="rId7"/>
    <sheet name="NPV_PPP_institucionālā" sheetId="12" r:id="rId8"/>
    <sheet name="Risku analīze" sheetId="8" r:id="rId9"/>
    <sheet name="Jutīguma analīze" sheetId="9" r:id="rId10"/>
    <sheet name="IAV" sheetId="10" r:id="rId11"/>
    <sheet name="Statistiskā uzskaite" sheetId="11"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11" l="1"/>
  <c r="H40" i="11"/>
  <c r="H30" i="11"/>
  <c r="F29" i="11"/>
  <c r="F22" i="4" l="1"/>
  <c r="F21" i="4" s="1"/>
  <c r="G22" i="4"/>
  <c r="H14" i="6" s="1"/>
  <c r="H22" i="4"/>
  <c r="I14" i="6" s="1"/>
  <c r="J22" i="4"/>
  <c r="K22" i="4"/>
  <c r="L14" i="6" s="1"/>
  <c r="L22" i="4"/>
  <c r="L21" i="4" s="1"/>
  <c r="M22" i="4"/>
  <c r="K14" i="5"/>
  <c r="N14" i="6"/>
  <c r="N9" i="4"/>
  <c r="G10" i="4"/>
  <c r="H10" i="4"/>
  <c r="I10" i="4"/>
  <c r="J10" i="4"/>
  <c r="K10" i="4"/>
  <c r="L10" i="4"/>
  <c r="M10" i="4"/>
  <c r="F10" i="4"/>
  <c r="E10" i="4"/>
  <c r="E32" i="6"/>
  <c r="E49" i="6"/>
  <c r="O48" i="5"/>
  <c r="E113" i="8"/>
  <c r="E110" i="8"/>
  <c r="E108" i="8"/>
  <c r="E107" i="8"/>
  <c r="E91" i="8"/>
  <c r="E88" i="8"/>
  <c r="E86" i="8"/>
  <c r="E85" i="8"/>
  <c r="C113" i="8"/>
  <c r="C110" i="8"/>
  <c r="C108" i="8"/>
  <c r="C107" i="8"/>
  <c r="F148" i="8"/>
  <c r="F149" i="8"/>
  <c r="F150" i="8"/>
  <c r="F151" i="8"/>
  <c r="F152" i="8"/>
  <c r="F153" i="8"/>
  <c r="F154" i="8"/>
  <c r="F155" i="8"/>
  <c r="F156" i="8"/>
  <c r="F157" i="8"/>
  <c r="F158" i="8"/>
  <c r="F159" i="8"/>
  <c r="F147" i="8"/>
  <c r="G15" i="6"/>
  <c r="H15" i="6"/>
  <c r="I15" i="6"/>
  <c r="J15" i="6"/>
  <c r="K15" i="6"/>
  <c r="L15" i="6"/>
  <c r="M15" i="6"/>
  <c r="N15" i="6"/>
  <c r="G14" i="6"/>
  <c r="K14" i="6"/>
  <c r="B34" i="6"/>
  <c r="B33" i="6"/>
  <c r="B27" i="6"/>
  <c r="B26" i="6"/>
  <c r="B22" i="6"/>
  <c r="B21" i="6"/>
  <c r="B15" i="6"/>
  <c r="B14" i="6"/>
  <c r="B14" i="13"/>
  <c r="B158" i="8"/>
  <c r="B159" i="8"/>
  <c r="B157" i="8"/>
  <c r="B155" i="8"/>
  <c r="B156" i="8"/>
  <c r="B154" i="8"/>
  <c r="B152" i="8"/>
  <c r="B153" i="8"/>
  <c r="B151" i="8"/>
  <c r="B150" i="8"/>
  <c r="O26" i="5"/>
  <c r="G15" i="5"/>
  <c r="H15" i="5"/>
  <c r="I15" i="5"/>
  <c r="J15" i="5"/>
  <c r="K15" i="5"/>
  <c r="L15" i="5"/>
  <c r="M15" i="5"/>
  <c r="N15" i="5"/>
  <c r="G14" i="5"/>
  <c r="N14" i="5"/>
  <c r="B27" i="5"/>
  <c r="B26" i="5"/>
  <c r="B22" i="5"/>
  <c r="B21" i="5"/>
  <c r="B15" i="5"/>
  <c r="B14" i="5"/>
  <c r="C80" i="3"/>
  <c r="C77" i="3"/>
  <c r="D29" i="4" s="1"/>
  <c r="E21" i="5" s="1"/>
  <c r="D67" i="3"/>
  <c r="E34" i="4" s="1"/>
  <c r="J21" i="4"/>
  <c r="M21" i="4"/>
  <c r="J59" i="3"/>
  <c r="D25" i="4" s="1"/>
  <c r="K59" i="3"/>
  <c r="E25" i="4" s="1"/>
  <c r="K62" i="3"/>
  <c r="E26" i="4" s="1"/>
  <c r="F15" i="5" s="1"/>
  <c r="J62" i="3"/>
  <c r="D26" i="4" s="1"/>
  <c r="E15" i="5" s="1"/>
  <c r="C56" i="3"/>
  <c r="J56" i="3" s="1"/>
  <c r="D24" i="4" s="1"/>
  <c r="C51" i="3"/>
  <c r="J50" i="3" s="1"/>
  <c r="D23" i="4" s="1"/>
  <c r="N11" i="4"/>
  <c r="E33" i="3"/>
  <c r="F33" i="3"/>
  <c r="G33" i="3"/>
  <c r="H33" i="3"/>
  <c r="I33" i="3"/>
  <c r="J33" i="3"/>
  <c r="K33" i="3"/>
  <c r="L33" i="3"/>
  <c r="D33" i="3"/>
  <c r="D21" i="3"/>
  <c r="D28" i="3" s="1"/>
  <c r="E21" i="3"/>
  <c r="E28" i="3" s="1"/>
  <c r="F21" i="3"/>
  <c r="G21" i="3"/>
  <c r="H21" i="3"/>
  <c r="H28" i="3" s="1"/>
  <c r="I21" i="3"/>
  <c r="I28" i="3" s="1"/>
  <c r="J21" i="3"/>
  <c r="K21" i="3"/>
  <c r="C21" i="3"/>
  <c r="C28" i="3" s="1"/>
  <c r="E6" i="13"/>
  <c r="L30" i="4" l="1"/>
  <c r="M22" i="5" s="1"/>
  <c r="D22" i="4"/>
  <c r="M14" i="6"/>
  <c r="G21" i="4"/>
  <c r="K21" i="4"/>
  <c r="H14" i="5"/>
  <c r="L14" i="5"/>
  <c r="M14" i="5"/>
  <c r="H21" i="4"/>
  <c r="I14" i="5"/>
  <c r="D30" i="4"/>
  <c r="E22" i="5" s="1"/>
  <c r="O25" i="4"/>
  <c r="E15" i="6"/>
  <c r="F15" i="6"/>
  <c r="E21" i="6"/>
  <c r="O26" i="4"/>
  <c r="M22" i="6"/>
  <c r="F30" i="4"/>
  <c r="G30" i="4"/>
  <c r="D21" i="4"/>
  <c r="J30" i="4"/>
  <c r="M30" i="4"/>
  <c r="I30" i="4"/>
  <c r="E30" i="4"/>
  <c r="H30" i="4"/>
  <c r="K30" i="4"/>
  <c r="D65" i="3"/>
  <c r="E29" i="4"/>
  <c r="J53" i="3"/>
  <c r="D66" i="3"/>
  <c r="K34" i="4"/>
  <c r="G34" i="4"/>
  <c r="L34" i="4"/>
  <c r="H34" i="4"/>
  <c r="D34" i="4"/>
  <c r="J34" i="4"/>
  <c r="F34" i="4"/>
  <c r="M34" i="4"/>
  <c r="I34" i="4"/>
  <c r="K56" i="3"/>
  <c r="E24" i="4" s="1"/>
  <c r="E22" i="4" s="1"/>
  <c r="J22" i="3"/>
  <c r="F22" i="3"/>
  <c r="K22" i="3"/>
  <c r="G22" i="3"/>
  <c r="K28" i="3"/>
  <c r="F28" i="3"/>
  <c r="J28" i="3"/>
  <c r="M33" i="3"/>
  <c r="C36" i="3" s="1"/>
  <c r="C38" i="3" s="1"/>
  <c r="D18" i="4" s="1"/>
  <c r="G28" i="3"/>
  <c r="I22" i="3"/>
  <c r="E22" i="3"/>
  <c r="D22" i="3"/>
  <c r="H22" i="3"/>
  <c r="L21" i="3"/>
  <c r="F33" i="4" l="1"/>
  <c r="C100" i="3"/>
  <c r="D28" i="4"/>
  <c r="E22" i="6"/>
  <c r="O30" i="4"/>
  <c r="O34" i="4"/>
  <c r="J22" i="5"/>
  <c r="J22" i="6"/>
  <c r="H22" i="5"/>
  <c r="H22" i="6"/>
  <c r="L22" i="5"/>
  <c r="L22" i="6"/>
  <c r="N22" i="5"/>
  <c r="N22" i="6"/>
  <c r="G22" i="5"/>
  <c r="G22" i="6"/>
  <c r="F22" i="5"/>
  <c r="F22" i="6"/>
  <c r="E33" i="5"/>
  <c r="E34" i="6"/>
  <c r="F14" i="6"/>
  <c r="O24" i="4"/>
  <c r="F21" i="5"/>
  <c r="F21" i="6"/>
  <c r="I22" i="5"/>
  <c r="I22" i="6"/>
  <c r="K22" i="5"/>
  <c r="K22" i="6"/>
  <c r="E14" i="5"/>
  <c r="E14" i="6"/>
  <c r="D11" i="4"/>
  <c r="C37" i="3"/>
  <c r="D12" i="4" s="1"/>
  <c r="D17" i="4" s="1"/>
  <c r="G33" i="4"/>
  <c r="G32" i="4" s="1"/>
  <c r="E33" i="4"/>
  <c r="E32" i="4" s="1"/>
  <c r="F29" i="4"/>
  <c r="E28" i="4"/>
  <c r="D35" i="4"/>
  <c r="F32" i="4"/>
  <c r="D33" i="4"/>
  <c r="I65" i="3"/>
  <c r="I33" i="4" s="1"/>
  <c r="I32" i="4" s="1"/>
  <c r="I23" i="4"/>
  <c r="I22" i="4" s="1"/>
  <c r="H33" i="4"/>
  <c r="H32" i="4" s="1"/>
  <c r="L28" i="3"/>
  <c r="L30" i="3" s="1"/>
  <c r="L22" i="3"/>
  <c r="D36" i="3"/>
  <c r="D38" i="3" s="1"/>
  <c r="E18" i="4" s="1"/>
  <c r="F14" i="5" l="1"/>
  <c r="E35" i="4"/>
  <c r="F27" i="6" s="1"/>
  <c r="E21" i="4"/>
  <c r="E33" i="6"/>
  <c r="E57" i="6" s="1"/>
  <c r="G21" i="5"/>
  <c r="G21" i="6"/>
  <c r="F33" i="5"/>
  <c r="F34" i="6"/>
  <c r="J14" i="5"/>
  <c r="O23" i="4"/>
  <c r="E27" i="5"/>
  <c r="E27" i="6"/>
  <c r="F26" i="5"/>
  <c r="F26" i="6"/>
  <c r="D32" i="4"/>
  <c r="D31" i="4" s="1"/>
  <c r="D27" i="4" s="1"/>
  <c r="I26" i="5"/>
  <c r="I26" i="6"/>
  <c r="G26" i="5"/>
  <c r="G26" i="6"/>
  <c r="J26" i="5"/>
  <c r="J26" i="6"/>
  <c r="H26" i="5"/>
  <c r="H26" i="6"/>
  <c r="E32" i="5"/>
  <c r="E49" i="5" s="1"/>
  <c r="D16" i="4"/>
  <c r="I21" i="4"/>
  <c r="E11" i="4"/>
  <c r="D37" i="3"/>
  <c r="E12" i="4" s="1"/>
  <c r="E17" i="4" s="1"/>
  <c r="F33" i="6" s="1"/>
  <c r="F57" i="6" s="1"/>
  <c r="J33" i="4"/>
  <c r="J32" i="4" s="1"/>
  <c r="K26" i="6" s="1"/>
  <c r="G29" i="4"/>
  <c r="F28" i="4"/>
  <c r="K33" i="4"/>
  <c r="K32" i="4" s="1"/>
  <c r="L26" i="6" s="1"/>
  <c r="L33" i="4"/>
  <c r="L32" i="4" s="1"/>
  <c r="M26" i="6" s="1"/>
  <c r="M33" i="4"/>
  <c r="M32" i="4" s="1"/>
  <c r="N26" i="6" s="1"/>
  <c r="E36" i="3"/>
  <c r="E38" i="3" s="1"/>
  <c r="F18" i="4" s="1"/>
  <c r="E31" i="4" l="1"/>
  <c r="E27" i="4" s="1"/>
  <c r="E37" i="4" s="1"/>
  <c r="F35" i="4"/>
  <c r="G27" i="6" s="1"/>
  <c r="O21" i="4"/>
  <c r="F27" i="5"/>
  <c r="H21" i="5"/>
  <c r="H21" i="6"/>
  <c r="O33" i="4"/>
  <c r="J14" i="6"/>
  <c r="O22" i="4"/>
  <c r="G33" i="5"/>
  <c r="G34" i="6"/>
  <c r="E26" i="5"/>
  <c r="E26" i="6"/>
  <c r="O32" i="4"/>
  <c r="D100" i="3" s="1"/>
  <c r="E100" i="3" s="1"/>
  <c r="F100" i="3" s="1"/>
  <c r="M40" i="4" s="1"/>
  <c r="F32" i="5"/>
  <c r="F49" i="5" s="1"/>
  <c r="E16" i="4"/>
  <c r="N26" i="5"/>
  <c r="L26" i="5"/>
  <c r="K26" i="5"/>
  <c r="M26" i="5"/>
  <c r="E37" i="3"/>
  <c r="F12" i="4" s="1"/>
  <c r="F17" i="4" s="1"/>
  <c r="H29" i="4"/>
  <c r="G28" i="4"/>
  <c r="F11" i="4"/>
  <c r="F36" i="3"/>
  <c r="F38" i="3" s="1"/>
  <c r="G18" i="4" s="1"/>
  <c r="G27" i="5" l="1"/>
  <c r="F31" i="4"/>
  <c r="F27" i="4" s="1"/>
  <c r="F37" i="4" s="1"/>
  <c r="G35" i="4"/>
  <c r="H27" i="6" s="1"/>
  <c r="D37" i="4"/>
  <c r="I21" i="5"/>
  <c r="I21" i="6"/>
  <c r="H33" i="5"/>
  <c r="H34" i="6"/>
  <c r="G33" i="6"/>
  <c r="G57" i="6" s="1"/>
  <c r="F16" i="4"/>
  <c r="G32" i="5"/>
  <c r="G49" i="5" s="1"/>
  <c r="G36" i="3"/>
  <c r="H36" i="3" s="1"/>
  <c r="F37" i="3"/>
  <c r="I29" i="4"/>
  <c r="H28" i="4"/>
  <c r="G11" i="4"/>
  <c r="G12" i="4"/>
  <c r="G17" i="4" s="1"/>
  <c r="H33" i="6" s="1"/>
  <c r="H57" i="6" s="1"/>
  <c r="H27" i="5" l="1"/>
  <c r="H35" i="4"/>
  <c r="I27" i="6" s="1"/>
  <c r="G31" i="4"/>
  <c r="G27" i="4" s="1"/>
  <c r="G37" i="4" s="1"/>
  <c r="J21" i="5"/>
  <c r="J21" i="6"/>
  <c r="H11" i="4"/>
  <c r="H37" i="3"/>
  <c r="H38" i="3"/>
  <c r="I18" i="4" s="1"/>
  <c r="G16" i="4"/>
  <c r="H32" i="5"/>
  <c r="H49" i="5" s="1"/>
  <c r="G37" i="3"/>
  <c r="H12" i="4" s="1"/>
  <c r="H17" i="4" s="1"/>
  <c r="I33" i="6" s="1"/>
  <c r="I57" i="6" s="1"/>
  <c r="G38" i="3"/>
  <c r="H18" i="4" s="1"/>
  <c r="J29" i="4"/>
  <c r="I28" i="4"/>
  <c r="I36" i="3"/>
  <c r="I12" i="4"/>
  <c r="I17" i="4" s="1"/>
  <c r="J33" i="6" s="1"/>
  <c r="J57" i="6" s="1"/>
  <c r="I11" i="4"/>
  <c r="I35" i="4" l="1"/>
  <c r="J27" i="6" s="1"/>
  <c r="H31" i="4"/>
  <c r="H27" i="4" s="1"/>
  <c r="I27" i="5"/>
  <c r="K21" i="5"/>
  <c r="K21" i="6"/>
  <c r="J33" i="5"/>
  <c r="J34" i="6"/>
  <c r="I33" i="5"/>
  <c r="I34" i="6"/>
  <c r="J32" i="5"/>
  <c r="J49" i="5" s="1"/>
  <c r="I16" i="4"/>
  <c r="I32" i="5"/>
  <c r="I49" i="5" s="1"/>
  <c r="H16" i="4"/>
  <c r="I37" i="3"/>
  <c r="J12" i="4" s="1"/>
  <c r="J17" i="4" s="1"/>
  <c r="K33" i="6" s="1"/>
  <c r="K57" i="6" s="1"/>
  <c r="I38" i="3"/>
  <c r="J18" i="4" s="1"/>
  <c r="K29" i="4"/>
  <c r="J28" i="4"/>
  <c r="J36" i="3"/>
  <c r="J11" i="4"/>
  <c r="I31" i="4" l="1"/>
  <c r="I27" i="4" s="1"/>
  <c r="I37" i="4" s="1"/>
  <c r="J27" i="5"/>
  <c r="J35" i="4"/>
  <c r="K27" i="6" s="1"/>
  <c r="L21" i="5"/>
  <c r="L21" i="6"/>
  <c r="K33" i="5"/>
  <c r="K34" i="6"/>
  <c r="H37" i="4"/>
  <c r="J16" i="4"/>
  <c r="K32" i="5"/>
  <c r="K49" i="5" s="1"/>
  <c r="J37" i="3"/>
  <c r="J38" i="3"/>
  <c r="K18" i="4" s="1"/>
  <c r="L29" i="4"/>
  <c r="K28" i="4"/>
  <c r="K36" i="3"/>
  <c r="K12" i="4"/>
  <c r="K17" i="4" s="1"/>
  <c r="K11" i="4"/>
  <c r="K35" i="4" l="1"/>
  <c r="L27" i="6" s="1"/>
  <c r="J31" i="4"/>
  <c r="J27" i="4" s="1"/>
  <c r="J37" i="4" s="1"/>
  <c r="K27" i="5"/>
  <c r="M21" i="5"/>
  <c r="M21" i="6"/>
  <c r="L33" i="6"/>
  <c r="L57" i="6" s="1"/>
  <c r="L33" i="5"/>
  <c r="L34" i="6"/>
  <c r="K16" i="4"/>
  <c r="L32" i="5"/>
  <c r="L49" i="5" s="1"/>
  <c r="K37" i="3"/>
  <c r="L12" i="4" s="1"/>
  <c r="L17" i="4" s="1"/>
  <c r="M33" i="6" s="1"/>
  <c r="M57" i="6" s="1"/>
  <c r="K38" i="3"/>
  <c r="L18" i="4" s="1"/>
  <c r="M29" i="4"/>
  <c r="L28" i="4"/>
  <c r="L36" i="3"/>
  <c r="L11" i="4"/>
  <c r="K31" i="4" l="1"/>
  <c r="K27" i="4" s="1"/>
  <c r="K37" i="4" s="1"/>
  <c r="L27" i="5"/>
  <c r="L35" i="4"/>
  <c r="M27" i="6" s="1"/>
  <c r="N21" i="6"/>
  <c r="O29" i="4"/>
  <c r="M33" i="5"/>
  <c r="M34" i="6"/>
  <c r="M32" i="5"/>
  <c r="M49" i="5" s="1"/>
  <c r="L16" i="4"/>
  <c r="L37" i="3"/>
  <c r="M12" i="4" s="1"/>
  <c r="M17" i="4" s="1"/>
  <c r="L38" i="3"/>
  <c r="M18" i="4" s="1"/>
  <c r="M28" i="4"/>
  <c r="N21" i="5"/>
  <c r="M11" i="4"/>
  <c r="M35" i="4" l="1"/>
  <c r="O35" i="4" s="1"/>
  <c r="L31" i="4"/>
  <c r="L27" i="4" s="1"/>
  <c r="L37" i="4" s="1"/>
  <c r="M27" i="5"/>
  <c r="O28" i="4"/>
  <c r="N33" i="5"/>
  <c r="N34" i="6"/>
  <c r="O18" i="4"/>
  <c r="N33" i="6"/>
  <c r="N57" i="6" s="1"/>
  <c r="O17" i="4"/>
  <c r="N32" i="5"/>
  <c r="N49" i="5" s="1"/>
  <c r="M16" i="4"/>
  <c r="O16" i="4" s="1"/>
  <c r="M31" i="4"/>
  <c r="M27" i="4" s="1"/>
  <c r="N27" i="6" l="1"/>
  <c r="N27" i="5"/>
  <c r="O31" i="4"/>
  <c r="M37" i="4" l="1"/>
  <c r="O37" i="4" s="1"/>
  <c r="O27" i="4"/>
  <c r="K97" i="8" l="1"/>
  <c r="K98" i="8"/>
  <c r="K96" i="8"/>
  <c r="J98" i="8"/>
  <c r="J97" i="8"/>
  <c r="J96" i="8"/>
  <c r="O49" i="5"/>
  <c r="C88" i="8"/>
  <c r="C91" i="8"/>
  <c r="C86" i="8"/>
  <c r="C85" i="8"/>
  <c r="D148" i="8"/>
  <c r="D149" i="8"/>
  <c r="D150" i="8"/>
  <c r="D151" i="8"/>
  <c r="D152" i="8"/>
  <c r="D153" i="8"/>
  <c r="D154" i="8"/>
  <c r="D155" i="8"/>
  <c r="D156" i="8"/>
  <c r="D157" i="8"/>
  <c r="D158" i="8"/>
  <c r="D159" i="8"/>
  <c r="D160" i="8"/>
  <c r="D161" i="8"/>
  <c r="D162" i="8"/>
  <c r="D163" i="8"/>
  <c r="D164" i="8"/>
  <c r="D165" i="8"/>
  <c r="D166" i="8"/>
  <c r="D147" i="8"/>
  <c r="Q106" i="12" l="1"/>
  <c r="H7" i="8"/>
  <c r="F8" i="6"/>
  <c r="G8" i="6"/>
  <c r="H8" i="6"/>
  <c r="I8" i="6"/>
  <c r="J8" i="6"/>
  <c r="K8" i="6"/>
  <c r="L8" i="6"/>
  <c r="M8" i="6"/>
  <c r="N8" i="6"/>
  <c r="F9" i="6"/>
  <c r="G9" i="6"/>
  <c r="H9" i="6"/>
  <c r="I9" i="6"/>
  <c r="J9" i="6"/>
  <c r="K9" i="6"/>
  <c r="L9" i="6"/>
  <c r="M9" i="6"/>
  <c r="N9" i="6"/>
  <c r="F10" i="6"/>
  <c r="G10" i="6"/>
  <c r="H10" i="6"/>
  <c r="I10" i="6"/>
  <c r="J10" i="6"/>
  <c r="K10" i="6"/>
  <c r="L10" i="6"/>
  <c r="M10" i="6"/>
  <c r="N10" i="6"/>
  <c r="F8" i="7"/>
  <c r="G8" i="7"/>
  <c r="H8" i="7"/>
  <c r="I8" i="7"/>
  <c r="J8" i="7"/>
  <c r="K8" i="7"/>
  <c r="L8" i="7"/>
  <c r="M8" i="7"/>
  <c r="N8" i="7"/>
  <c r="F9" i="7"/>
  <c r="G9" i="7"/>
  <c r="H9" i="7"/>
  <c r="I9" i="7"/>
  <c r="J9" i="7"/>
  <c r="K9" i="7"/>
  <c r="L9" i="7"/>
  <c r="M9" i="7"/>
  <c r="N9" i="7"/>
  <c r="F10" i="7"/>
  <c r="G10" i="7"/>
  <c r="H10" i="7"/>
  <c r="I10" i="7"/>
  <c r="J10" i="7"/>
  <c r="K10" i="7"/>
  <c r="L10" i="7"/>
  <c r="M10" i="7"/>
  <c r="N10" i="7"/>
  <c r="F8" i="12"/>
  <c r="G8" i="12"/>
  <c r="H8" i="12"/>
  <c r="I8" i="12"/>
  <c r="J8" i="12"/>
  <c r="K8" i="12"/>
  <c r="L8" i="12"/>
  <c r="M8" i="12"/>
  <c r="N8" i="12"/>
  <c r="F9" i="12"/>
  <c r="G9" i="12"/>
  <c r="H9" i="12"/>
  <c r="I9" i="12"/>
  <c r="J9" i="12"/>
  <c r="K9" i="12"/>
  <c r="L9" i="12"/>
  <c r="M9" i="12"/>
  <c r="N9" i="12"/>
  <c r="F10" i="12"/>
  <c r="G10" i="12"/>
  <c r="H10" i="12"/>
  <c r="I10" i="12"/>
  <c r="J10" i="12"/>
  <c r="K10" i="12"/>
  <c r="L10" i="12"/>
  <c r="M10" i="12"/>
  <c r="N10" i="12"/>
  <c r="E10" i="12"/>
  <c r="E9" i="12"/>
  <c r="E8" i="12"/>
  <c r="E10" i="7"/>
  <c r="E9" i="7"/>
  <c r="E8" i="7"/>
  <c r="E10" i="6"/>
  <c r="E9" i="6"/>
  <c r="E8" i="6"/>
  <c r="F9" i="13"/>
  <c r="G9" i="13"/>
  <c r="H9" i="13"/>
  <c r="I9" i="13"/>
  <c r="J9" i="13"/>
  <c r="K9" i="13"/>
  <c r="L9" i="13"/>
  <c r="M9" i="13"/>
  <c r="N9" i="13"/>
  <c r="E9" i="13"/>
  <c r="F9" i="5"/>
  <c r="G9" i="5"/>
  <c r="H9" i="5"/>
  <c r="I9" i="5"/>
  <c r="J9" i="5"/>
  <c r="K9" i="5"/>
  <c r="L9" i="5"/>
  <c r="M9" i="5"/>
  <c r="N9" i="5"/>
  <c r="E9" i="5"/>
  <c r="F8" i="5"/>
  <c r="G8" i="5"/>
  <c r="H8" i="5"/>
  <c r="I8" i="5"/>
  <c r="J8" i="5"/>
  <c r="K8" i="5"/>
  <c r="L8" i="5"/>
  <c r="M8" i="5"/>
  <c r="N8" i="5"/>
  <c r="E8" i="5"/>
  <c r="E6" i="5"/>
  <c r="E10" i="5"/>
  <c r="E2" i="13"/>
  <c r="O10" i="13"/>
  <c r="O41" i="13" s="1"/>
  <c r="F10" i="13"/>
  <c r="F41" i="13" s="1"/>
  <c r="G10" i="13"/>
  <c r="H10" i="13"/>
  <c r="I10" i="13"/>
  <c r="J10" i="13"/>
  <c r="J41" i="13" s="1"/>
  <c r="K10" i="13"/>
  <c r="L10" i="13"/>
  <c r="M10" i="13"/>
  <c r="M41" i="13" s="1"/>
  <c r="N10" i="13"/>
  <c r="N41" i="13" s="1"/>
  <c r="E10" i="13"/>
  <c r="F10" i="5"/>
  <c r="G10" i="5"/>
  <c r="H10" i="5"/>
  <c r="I10" i="5"/>
  <c r="J10" i="5"/>
  <c r="K10" i="5"/>
  <c r="L10" i="5"/>
  <c r="M10" i="5"/>
  <c r="N10" i="5"/>
  <c r="F16" i="9"/>
  <c r="F22" i="9"/>
  <c r="F20" i="9"/>
  <c r="F18" i="9"/>
  <c r="J131" i="8"/>
  <c r="G95" i="8"/>
  <c r="B95" i="8" s="1"/>
  <c r="J32" i="8"/>
  <c r="H32" i="8"/>
  <c r="J31" i="8"/>
  <c r="H31" i="8"/>
  <c r="J30" i="8"/>
  <c r="H30" i="8"/>
  <c r="J29" i="8"/>
  <c r="H29" i="8"/>
  <c r="J28" i="8"/>
  <c r="H28" i="8"/>
  <c r="J26" i="8"/>
  <c r="H26" i="8"/>
  <c r="J25" i="8"/>
  <c r="H25" i="8"/>
  <c r="J24" i="8"/>
  <c r="H24" i="8"/>
  <c r="J23" i="8"/>
  <c r="H23" i="8"/>
  <c r="J22" i="8"/>
  <c r="H22" i="8"/>
  <c r="Q60" i="13"/>
  <c r="H7" i="10" s="1"/>
  <c r="Q49" i="13"/>
  <c r="Q48" i="13"/>
  <c r="Q47" i="13"/>
  <c r="O46" i="13"/>
  <c r="N46" i="13"/>
  <c r="M46" i="13"/>
  <c r="L46" i="13"/>
  <c r="K46" i="13"/>
  <c r="J46" i="13"/>
  <c r="I46" i="13"/>
  <c r="H46" i="13"/>
  <c r="G46" i="13"/>
  <c r="F46" i="13"/>
  <c r="E46" i="13"/>
  <c r="Q35" i="13"/>
  <c r="Q34" i="13"/>
  <c r="Q33" i="13"/>
  <c r="N31" i="13"/>
  <c r="M31" i="13"/>
  <c r="L31" i="13"/>
  <c r="J31" i="13"/>
  <c r="I31" i="13"/>
  <c r="H31" i="13"/>
  <c r="G31" i="13"/>
  <c r="F31" i="13"/>
  <c r="O31" i="13"/>
  <c r="K31" i="13"/>
  <c r="Q29" i="13"/>
  <c r="Q28" i="13"/>
  <c r="Q27" i="13"/>
  <c r="Q26" i="13"/>
  <c r="O25" i="13"/>
  <c r="O19" i="13" s="1"/>
  <c r="N25" i="13"/>
  <c r="M25" i="13"/>
  <c r="L25" i="13"/>
  <c r="K25" i="13"/>
  <c r="K19" i="13" s="1"/>
  <c r="J25" i="13"/>
  <c r="I25" i="13"/>
  <c r="H25" i="13"/>
  <c r="G25" i="13"/>
  <c r="G19" i="13" s="1"/>
  <c r="F25" i="13"/>
  <c r="E25" i="13"/>
  <c r="Q24" i="13"/>
  <c r="Q23" i="13"/>
  <c r="Q22" i="13"/>
  <c r="Q21" i="13"/>
  <c r="O20" i="13"/>
  <c r="N20" i="13"/>
  <c r="N19" i="13" s="1"/>
  <c r="M20" i="13"/>
  <c r="M19" i="13" s="1"/>
  <c r="L20" i="13"/>
  <c r="K20" i="13"/>
  <c r="J20" i="13"/>
  <c r="J19" i="13" s="1"/>
  <c r="I20" i="13"/>
  <c r="I19" i="13" s="1"/>
  <c r="H20" i="13"/>
  <c r="G20" i="13"/>
  <c r="F20" i="13"/>
  <c r="F19" i="13" s="1"/>
  <c r="E20" i="13"/>
  <c r="Q20" i="13" s="1"/>
  <c r="L19" i="13"/>
  <c r="H19" i="13"/>
  <c r="Q17" i="13"/>
  <c r="Q16" i="13"/>
  <c r="Q15" i="13"/>
  <c r="O13" i="13"/>
  <c r="N13" i="13"/>
  <c r="M13" i="13"/>
  <c r="L13" i="13"/>
  <c r="K13" i="13"/>
  <c r="J13" i="13"/>
  <c r="I13" i="13"/>
  <c r="H13" i="13"/>
  <c r="G13" i="13"/>
  <c r="F13" i="13"/>
  <c r="E13" i="13"/>
  <c r="G41" i="13"/>
  <c r="N8" i="13"/>
  <c r="M8" i="13"/>
  <c r="L8" i="13"/>
  <c r="K8" i="13"/>
  <c r="J8" i="13"/>
  <c r="I8" i="13"/>
  <c r="H8" i="13"/>
  <c r="G8" i="13"/>
  <c r="F8" i="13"/>
  <c r="E8" i="13"/>
  <c r="O20" i="9"/>
  <c r="O16" i="9"/>
  <c r="O22" i="9"/>
  <c r="O18" i="9"/>
  <c r="L22" i="9"/>
  <c r="L20" i="9"/>
  <c r="L18" i="9"/>
  <c r="L16" i="9"/>
  <c r="G9" i="10" l="1"/>
  <c r="G10" i="10"/>
  <c r="K41" i="13"/>
  <c r="E41" i="13"/>
  <c r="E51" i="13" s="1"/>
  <c r="H41" i="13"/>
  <c r="H51" i="13" s="1"/>
  <c r="I41" i="13"/>
  <c r="Q9" i="13"/>
  <c r="G37" i="13"/>
  <c r="G55" i="13" s="1"/>
  <c r="G56" i="13" s="1"/>
  <c r="O37" i="13"/>
  <c r="O55" i="13" s="1"/>
  <c r="O56" i="13" s="1"/>
  <c r="L41" i="13"/>
  <c r="L51" i="13" s="1"/>
  <c r="K37" i="13"/>
  <c r="L22" i="8"/>
  <c r="L24" i="8"/>
  <c r="L26" i="8"/>
  <c r="L29" i="8"/>
  <c r="L31" i="8"/>
  <c r="E41" i="5"/>
  <c r="J37" i="13"/>
  <c r="J42" i="13" s="1"/>
  <c r="N37" i="13"/>
  <c r="N55" i="13" s="1"/>
  <c r="N56" i="13" s="1"/>
  <c r="E19" i="13"/>
  <c r="Q19" i="13" s="1"/>
  <c r="Q32" i="13"/>
  <c r="Q13" i="13"/>
  <c r="F37" i="13"/>
  <c r="F55" i="13" s="1"/>
  <c r="F56" i="13" s="1"/>
  <c r="I37" i="13"/>
  <c r="I55" i="13" s="1"/>
  <c r="H37" i="13"/>
  <c r="H42" i="13" s="1"/>
  <c r="L37" i="13"/>
  <c r="L55" i="13" s="1"/>
  <c r="L56" i="13" s="1"/>
  <c r="E31" i="13"/>
  <c r="Q31" i="13" s="1"/>
  <c r="M37" i="13"/>
  <c r="M55" i="13" s="1"/>
  <c r="M56" i="13" s="1"/>
  <c r="Q25" i="13"/>
  <c r="O42" i="13"/>
  <c r="O51" i="13"/>
  <c r="L23" i="8"/>
  <c r="L25" i="8"/>
  <c r="L28" i="8"/>
  <c r="L30" i="8"/>
  <c r="L32" i="8"/>
  <c r="K22" i="8"/>
  <c r="K23" i="8"/>
  <c r="K24" i="8"/>
  <c r="K25" i="8"/>
  <c r="K26" i="8"/>
  <c r="K28" i="8"/>
  <c r="K29" i="8"/>
  <c r="K30" i="8"/>
  <c r="K31" i="8"/>
  <c r="K32" i="8"/>
  <c r="F51" i="13"/>
  <c r="J51" i="13"/>
  <c r="N51" i="13"/>
  <c r="J55" i="13"/>
  <c r="J56" i="13" s="1"/>
  <c r="G51" i="13"/>
  <c r="K51" i="13"/>
  <c r="H55" i="13"/>
  <c r="H56" i="13" s="1"/>
  <c r="M51" i="13"/>
  <c r="Q46" i="13"/>
  <c r="Q14" i="13"/>
  <c r="E2" i="12"/>
  <c r="E2" i="7"/>
  <c r="E2" i="6"/>
  <c r="E2" i="5"/>
  <c r="K42" i="13" l="1"/>
  <c r="I56" i="13"/>
  <c r="F42" i="13"/>
  <c r="K55" i="13"/>
  <c r="K56" i="13" s="1"/>
  <c r="M42" i="13"/>
  <c r="G42" i="13"/>
  <c r="I42" i="13"/>
  <c r="I51" i="13"/>
  <c r="Q51" i="13" s="1"/>
  <c r="N42" i="13"/>
  <c r="L42" i="13"/>
  <c r="E37" i="13"/>
  <c r="E55" i="13" s="1"/>
  <c r="F31" i="5"/>
  <c r="F48" i="5" s="1"/>
  <c r="G31" i="5"/>
  <c r="G48" i="5" s="1"/>
  <c r="Q87" i="12"/>
  <c r="Q88" i="12"/>
  <c r="Q119" i="12"/>
  <c r="H10" i="10" s="1"/>
  <c r="Q71" i="7"/>
  <c r="H9" i="10" s="1"/>
  <c r="J166" i="8"/>
  <c r="J167" i="8"/>
  <c r="J168" i="8"/>
  <c r="J169" i="8"/>
  <c r="J165" i="8"/>
  <c r="J164" i="8"/>
  <c r="H164" i="8"/>
  <c r="J163" i="8"/>
  <c r="J153" i="8"/>
  <c r="J154" i="8"/>
  <c r="J155" i="8"/>
  <c r="J156" i="8"/>
  <c r="J157" i="8"/>
  <c r="J158" i="8"/>
  <c r="J159" i="8"/>
  <c r="J160" i="8"/>
  <c r="J161" i="8"/>
  <c r="J162" i="8"/>
  <c r="J152" i="8"/>
  <c r="J148" i="8"/>
  <c r="J149" i="8"/>
  <c r="J150" i="8"/>
  <c r="J151" i="8"/>
  <c r="J147" i="8"/>
  <c r="H165" i="8"/>
  <c r="H166" i="8"/>
  <c r="H167" i="8"/>
  <c r="H163" i="8"/>
  <c r="H153" i="8"/>
  <c r="H154" i="8"/>
  <c r="H155" i="8"/>
  <c r="H156" i="8"/>
  <c r="H157" i="8"/>
  <c r="H158" i="8"/>
  <c r="H159" i="8"/>
  <c r="H160" i="8"/>
  <c r="H161" i="8"/>
  <c r="H162" i="8"/>
  <c r="H152" i="8"/>
  <c r="H148" i="8"/>
  <c r="H149" i="8"/>
  <c r="H150" i="8"/>
  <c r="H151" i="8"/>
  <c r="H147" i="8"/>
  <c r="Q89" i="12"/>
  <c r="Q108" i="12"/>
  <c r="Q107" i="12"/>
  <c r="Q91" i="12"/>
  <c r="Q56" i="12"/>
  <c r="Q27" i="12"/>
  <c r="Q26" i="12"/>
  <c r="Q25" i="12"/>
  <c r="Q24" i="12"/>
  <c r="Q22" i="12"/>
  <c r="Q21" i="12"/>
  <c r="Q20" i="12"/>
  <c r="Q19" i="12"/>
  <c r="Q17" i="12"/>
  <c r="Q16" i="12"/>
  <c r="Q15" i="12"/>
  <c r="Q14" i="12"/>
  <c r="E105" i="12"/>
  <c r="E92" i="12"/>
  <c r="F57" i="12"/>
  <c r="G57" i="12"/>
  <c r="H57" i="12"/>
  <c r="I57" i="12"/>
  <c r="J57" i="12"/>
  <c r="K57" i="12"/>
  <c r="L57" i="12"/>
  <c r="M57" i="12"/>
  <c r="N57" i="12"/>
  <c r="O57" i="12"/>
  <c r="E57" i="12"/>
  <c r="F92" i="12"/>
  <c r="G92" i="12"/>
  <c r="H92" i="12"/>
  <c r="I92" i="12"/>
  <c r="J92" i="12"/>
  <c r="K92" i="12"/>
  <c r="L92" i="12"/>
  <c r="M92" i="12"/>
  <c r="N92" i="12"/>
  <c r="O92" i="12"/>
  <c r="Q86" i="12"/>
  <c r="O85" i="12"/>
  <c r="N85" i="12"/>
  <c r="M85" i="12"/>
  <c r="L85" i="12"/>
  <c r="K85" i="12"/>
  <c r="J85" i="12"/>
  <c r="I85" i="12"/>
  <c r="H85" i="12"/>
  <c r="G85" i="12"/>
  <c r="F85" i="12"/>
  <c r="E85" i="12"/>
  <c r="Q84" i="12"/>
  <c r="Q83" i="12"/>
  <c r="Q82" i="12"/>
  <c r="Q81" i="12"/>
  <c r="O80" i="12"/>
  <c r="N80" i="12"/>
  <c r="M80" i="12"/>
  <c r="L80" i="12"/>
  <c r="K80" i="12"/>
  <c r="J80" i="12"/>
  <c r="I80" i="12"/>
  <c r="H80" i="12"/>
  <c r="G80" i="12"/>
  <c r="F80" i="12"/>
  <c r="E80" i="12"/>
  <c r="Q77" i="12"/>
  <c r="Q76" i="12"/>
  <c r="Q75" i="12"/>
  <c r="Q74" i="12"/>
  <c r="O73" i="12"/>
  <c r="N73" i="12"/>
  <c r="M73" i="12"/>
  <c r="L73" i="12"/>
  <c r="K73" i="12"/>
  <c r="J73" i="12"/>
  <c r="I73" i="12"/>
  <c r="H73" i="12"/>
  <c r="G73" i="12"/>
  <c r="F73" i="12"/>
  <c r="E73" i="12"/>
  <c r="O23" i="12"/>
  <c r="N23" i="12"/>
  <c r="M23" i="12"/>
  <c r="L23" i="12"/>
  <c r="K23" i="12"/>
  <c r="J23" i="12"/>
  <c r="I23" i="12"/>
  <c r="H23" i="12"/>
  <c r="G23" i="12"/>
  <c r="F23" i="12"/>
  <c r="E23" i="12"/>
  <c r="O13" i="12"/>
  <c r="N13" i="12"/>
  <c r="M13" i="12"/>
  <c r="L13" i="12"/>
  <c r="K13" i="12"/>
  <c r="J13" i="12"/>
  <c r="I13" i="12"/>
  <c r="H13" i="12"/>
  <c r="G13" i="12"/>
  <c r="F13" i="12"/>
  <c r="E13" i="12"/>
  <c r="F18" i="12"/>
  <c r="G18" i="12"/>
  <c r="H18" i="12"/>
  <c r="I18" i="12"/>
  <c r="J18" i="12"/>
  <c r="K18" i="12"/>
  <c r="L18" i="12"/>
  <c r="M18" i="12"/>
  <c r="N18" i="12"/>
  <c r="O18" i="12"/>
  <c r="E18" i="12"/>
  <c r="O105" i="12"/>
  <c r="N105" i="12"/>
  <c r="M105" i="12"/>
  <c r="L105" i="12"/>
  <c r="K105" i="12"/>
  <c r="J105" i="12"/>
  <c r="I105" i="12"/>
  <c r="H105" i="12"/>
  <c r="G105" i="12"/>
  <c r="F105" i="12"/>
  <c r="Q54" i="12"/>
  <c r="Q53" i="12"/>
  <c r="Q52" i="12"/>
  <c r="Q51" i="12"/>
  <c r="O50" i="12"/>
  <c r="N50" i="12"/>
  <c r="M50" i="12"/>
  <c r="L50" i="12"/>
  <c r="K50" i="12"/>
  <c r="J50" i="12"/>
  <c r="I50" i="12"/>
  <c r="H50" i="12"/>
  <c r="G50" i="12"/>
  <c r="F50" i="12"/>
  <c r="E50" i="12"/>
  <c r="Q49" i="12"/>
  <c r="Q48" i="12"/>
  <c r="Q47" i="12"/>
  <c r="Q46" i="12"/>
  <c r="O45" i="12"/>
  <c r="N45" i="12"/>
  <c r="M45" i="12"/>
  <c r="L45" i="12"/>
  <c r="K45" i="12"/>
  <c r="J45" i="12"/>
  <c r="I45" i="12"/>
  <c r="H45" i="12"/>
  <c r="G45" i="12"/>
  <c r="F45" i="12"/>
  <c r="E45" i="12"/>
  <c r="Q42" i="12"/>
  <c r="Q41" i="12"/>
  <c r="Q40" i="12"/>
  <c r="Q39" i="12"/>
  <c r="O38" i="12"/>
  <c r="N38" i="12"/>
  <c r="M38" i="12"/>
  <c r="L38" i="12"/>
  <c r="K38" i="12"/>
  <c r="J38" i="12"/>
  <c r="I38" i="12"/>
  <c r="H38" i="12"/>
  <c r="G38" i="12"/>
  <c r="F38" i="12"/>
  <c r="E38" i="12"/>
  <c r="Q9" i="12"/>
  <c r="E6" i="12"/>
  <c r="K65" i="12" s="1"/>
  <c r="K100" i="12" s="1"/>
  <c r="Q14" i="7"/>
  <c r="Q15" i="7"/>
  <c r="Q16" i="7"/>
  <c r="Q17" i="7"/>
  <c r="Q21" i="7"/>
  <c r="Q22" i="7"/>
  <c r="Q23" i="7"/>
  <c r="Q24" i="7"/>
  <c r="Q26" i="7"/>
  <c r="Q27" i="7"/>
  <c r="Q28" i="7"/>
  <c r="Q29" i="7"/>
  <c r="Q31" i="7"/>
  <c r="Q35" i="7"/>
  <c r="Q36" i="7"/>
  <c r="Q37" i="7"/>
  <c r="Q51" i="7"/>
  <c r="Q58" i="7"/>
  <c r="Q59" i="7"/>
  <c r="Q60" i="7"/>
  <c r="F52" i="7"/>
  <c r="G52" i="7"/>
  <c r="H52" i="7"/>
  <c r="I52" i="7"/>
  <c r="J52" i="7"/>
  <c r="K52" i="7"/>
  <c r="L52" i="7"/>
  <c r="M52" i="7"/>
  <c r="N52" i="7"/>
  <c r="O52" i="7"/>
  <c r="E52" i="7"/>
  <c r="Q14" i="6"/>
  <c r="E38" i="8" s="1"/>
  <c r="Q15" i="6"/>
  <c r="Q16" i="6"/>
  <c r="Q17" i="6"/>
  <c r="Q21" i="6"/>
  <c r="Q22" i="6"/>
  <c r="Q23" i="6"/>
  <c r="Q24" i="6"/>
  <c r="Q26" i="6"/>
  <c r="Q27" i="6"/>
  <c r="Q28" i="6"/>
  <c r="Q29" i="6"/>
  <c r="Q33" i="6"/>
  <c r="Q34" i="6"/>
  <c r="Q35" i="6"/>
  <c r="Q57" i="6"/>
  <c r="Q9" i="7"/>
  <c r="Q9" i="6"/>
  <c r="Q14" i="5"/>
  <c r="E8" i="8" s="1"/>
  <c r="Q15" i="5"/>
  <c r="Q16" i="5"/>
  <c r="Q17" i="5"/>
  <c r="Q21" i="5"/>
  <c r="Q22" i="5"/>
  <c r="Q23" i="5"/>
  <c r="E16" i="8" s="1"/>
  <c r="Q24" i="5"/>
  <c r="Q26" i="5"/>
  <c r="Q27" i="5"/>
  <c r="Q28" i="5"/>
  <c r="Q29" i="5"/>
  <c r="Q33" i="5"/>
  <c r="Q34" i="5"/>
  <c r="Q35" i="5"/>
  <c r="Q49" i="5"/>
  <c r="Q9" i="5"/>
  <c r="B149" i="8"/>
  <c r="B148" i="8"/>
  <c r="B147" i="8"/>
  <c r="O57" i="7"/>
  <c r="O66" i="7" s="1"/>
  <c r="N57" i="7"/>
  <c r="N66" i="7" s="1"/>
  <c r="M57" i="7"/>
  <c r="L57" i="7"/>
  <c r="L66" i="7" s="1"/>
  <c r="K57" i="7"/>
  <c r="K66" i="7" s="1"/>
  <c r="J57" i="7"/>
  <c r="J66" i="7" s="1"/>
  <c r="I57" i="7"/>
  <c r="I66" i="7" s="1"/>
  <c r="H57" i="7"/>
  <c r="H66" i="7" s="1"/>
  <c r="G57" i="7"/>
  <c r="G66" i="7" s="1"/>
  <c r="F57" i="7"/>
  <c r="F66" i="7" s="1"/>
  <c r="E57" i="7"/>
  <c r="O34" i="7"/>
  <c r="O33" i="7" s="1"/>
  <c r="N34" i="7"/>
  <c r="N33" i="7" s="1"/>
  <c r="M34" i="7"/>
  <c r="M33" i="7" s="1"/>
  <c r="L34" i="7"/>
  <c r="L33" i="7" s="1"/>
  <c r="K34" i="7"/>
  <c r="J34" i="7"/>
  <c r="I34" i="7"/>
  <c r="H34" i="7"/>
  <c r="H33" i="7" s="1"/>
  <c r="G34" i="7"/>
  <c r="G33" i="7" s="1"/>
  <c r="F34" i="7"/>
  <c r="F33" i="7" s="1"/>
  <c r="E34" i="7"/>
  <c r="E33" i="7" s="1"/>
  <c r="Q33" i="7" s="1"/>
  <c r="K33" i="7"/>
  <c r="J33" i="7"/>
  <c r="I33" i="7"/>
  <c r="O25" i="7"/>
  <c r="N25" i="7"/>
  <c r="M25" i="7"/>
  <c r="L25" i="7"/>
  <c r="K25" i="7"/>
  <c r="J25" i="7"/>
  <c r="I25" i="7"/>
  <c r="H25" i="7"/>
  <c r="G25" i="7"/>
  <c r="F25" i="7"/>
  <c r="E25" i="7"/>
  <c r="O20" i="7"/>
  <c r="N20" i="7"/>
  <c r="M20" i="7"/>
  <c r="L20" i="7"/>
  <c r="K20" i="7"/>
  <c r="J20" i="7"/>
  <c r="I20" i="7"/>
  <c r="H20" i="7"/>
  <c r="G20" i="7"/>
  <c r="F20" i="7"/>
  <c r="E20" i="7"/>
  <c r="N19" i="7"/>
  <c r="K19" i="7"/>
  <c r="O13" i="7"/>
  <c r="N13" i="7"/>
  <c r="M13" i="7"/>
  <c r="L13" i="7"/>
  <c r="K13" i="7"/>
  <c r="J13" i="7"/>
  <c r="I13" i="7"/>
  <c r="H13" i="7"/>
  <c r="G13" i="7"/>
  <c r="F13" i="7"/>
  <c r="E13" i="7"/>
  <c r="E6" i="7"/>
  <c r="O43" i="7" s="1"/>
  <c r="O32" i="6"/>
  <c r="O31" i="6" s="1"/>
  <c r="E31" i="6"/>
  <c r="E56" i="6" s="1"/>
  <c r="E6" i="6"/>
  <c r="O54" i="6"/>
  <c r="O63" i="6" s="1"/>
  <c r="O25" i="6"/>
  <c r="N25" i="6"/>
  <c r="M25" i="6"/>
  <c r="L25" i="6"/>
  <c r="K25" i="6"/>
  <c r="J25" i="6"/>
  <c r="I25" i="6"/>
  <c r="H25" i="6"/>
  <c r="G25" i="6"/>
  <c r="F25" i="6"/>
  <c r="E25" i="6"/>
  <c r="O20" i="6"/>
  <c r="N20" i="6"/>
  <c r="M20" i="6"/>
  <c r="L20" i="6"/>
  <c r="K20" i="6"/>
  <c r="J20" i="6"/>
  <c r="I20" i="6"/>
  <c r="H20" i="6"/>
  <c r="G20" i="6"/>
  <c r="F20" i="6"/>
  <c r="E20" i="6"/>
  <c r="O13" i="6"/>
  <c r="N13" i="6"/>
  <c r="N55" i="6" s="1"/>
  <c r="M13" i="6"/>
  <c r="M55" i="6" s="1"/>
  <c r="L13" i="6"/>
  <c r="L55" i="6" s="1"/>
  <c r="K13" i="6"/>
  <c r="K55" i="6" s="1"/>
  <c r="J13" i="6"/>
  <c r="J55" i="6" s="1"/>
  <c r="I13" i="6"/>
  <c r="I55" i="6" s="1"/>
  <c r="H13" i="6"/>
  <c r="H55" i="6" s="1"/>
  <c r="G13" i="6"/>
  <c r="G55" i="6" s="1"/>
  <c r="F13" i="6"/>
  <c r="F55" i="6" s="1"/>
  <c r="E13" i="6"/>
  <c r="E55" i="6" s="1"/>
  <c r="F41" i="5"/>
  <c r="G41" i="5"/>
  <c r="H41" i="5"/>
  <c r="I41" i="5"/>
  <c r="J41" i="5"/>
  <c r="K41" i="5"/>
  <c r="L41" i="5"/>
  <c r="M41" i="5"/>
  <c r="N41" i="5"/>
  <c r="O41" i="5"/>
  <c r="O13" i="5"/>
  <c r="O20" i="5"/>
  <c r="O25" i="5"/>
  <c r="O31" i="5"/>
  <c r="E31" i="5"/>
  <c r="E48" i="5" s="1"/>
  <c r="F25" i="5"/>
  <c r="G25" i="5"/>
  <c r="H25" i="5"/>
  <c r="I25" i="5"/>
  <c r="J25" i="5"/>
  <c r="K25" i="5"/>
  <c r="L25" i="5"/>
  <c r="M25" i="5"/>
  <c r="N25" i="5"/>
  <c r="E25" i="5"/>
  <c r="F20" i="5"/>
  <c r="G20" i="5"/>
  <c r="H20" i="5"/>
  <c r="I20" i="5"/>
  <c r="J20" i="5"/>
  <c r="K20" i="5"/>
  <c r="L20" i="5"/>
  <c r="M20" i="5"/>
  <c r="N20" i="5"/>
  <c r="E20" i="5"/>
  <c r="F13" i="5"/>
  <c r="F47" i="5" s="1"/>
  <c r="G13" i="5"/>
  <c r="G47" i="5" s="1"/>
  <c r="H13" i="5"/>
  <c r="H47" i="5" s="1"/>
  <c r="I13" i="5"/>
  <c r="I47" i="5" s="1"/>
  <c r="J13" i="5"/>
  <c r="J47" i="5" s="1"/>
  <c r="K13" i="5"/>
  <c r="K47" i="5" s="1"/>
  <c r="L13" i="5"/>
  <c r="L47" i="5" s="1"/>
  <c r="M13" i="5"/>
  <c r="M47" i="5" s="1"/>
  <c r="N13" i="5"/>
  <c r="N47" i="5" s="1"/>
  <c r="E13" i="5"/>
  <c r="E47" i="5" s="1"/>
  <c r="K132" i="8"/>
  <c r="K133" i="8"/>
  <c r="K131" i="8"/>
  <c r="J132" i="8"/>
  <c r="J133" i="8"/>
  <c r="K120" i="8"/>
  <c r="K121" i="8"/>
  <c r="K119" i="8"/>
  <c r="J120" i="8"/>
  <c r="J121" i="8"/>
  <c r="J119" i="8"/>
  <c r="H77" i="8"/>
  <c r="H76" i="8"/>
  <c r="K76" i="8" s="1"/>
  <c r="H75" i="8"/>
  <c r="K75" i="8" s="1"/>
  <c r="H74" i="8"/>
  <c r="H73" i="8"/>
  <c r="H71" i="8"/>
  <c r="K71" i="8" s="1"/>
  <c r="H70" i="8"/>
  <c r="K70" i="8" s="1"/>
  <c r="H69" i="8"/>
  <c r="K69" i="8" s="1"/>
  <c r="H68" i="8"/>
  <c r="H67" i="8"/>
  <c r="K67" i="8" s="1"/>
  <c r="H62" i="8"/>
  <c r="H61" i="8"/>
  <c r="K61" i="8" s="1"/>
  <c r="H60" i="8"/>
  <c r="H59" i="8"/>
  <c r="K59" i="8" s="1"/>
  <c r="H58" i="8"/>
  <c r="K58" i="8" s="1"/>
  <c r="H56" i="8"/>
  <c r="K56" i="8" s="1"/>
  <c r="H55" i="8"/>
  <c r="K55" i="8" s="1"/>
  <c r="H54" i="8"/>
  <c r="K54" i="8" s="1"/>
  <c r="H53" i="8"/>
  <c r="H52" i="8"/>
  <c r="K52" i="8" s="1"/>
  <c r="H47" i="8"/>
  <c r="K47" i="8" s="1"/>
  <c r="H46" i="8"/>
  <c r="H45" i="8"/>
  <c r="H44" i="8"/>
  <c r="H43" i="8"/>
  <c r="H41" i="8"/>
  <c r="K41" i="8" s="1"/>
  <c r="H40" i="8"/>
  <c r="H39" i="8"/>
  <c r="K39" i="8" s="1"/>
  <c r="H38" i="8"/>
  <c r="K38" i="8" s="1"/>
  <c r="H37" i="8"/>
  <c r="H17" i="8"/>
  <c r="K17" i="8" s="1"/>
  <c r="H16" i="8"/>
  <c r="H15" i="8"/>
  <c r="H14" i="8"/>
  <c r="H13" i="8"/>
  <c r="H8" i="8"/>
  <c r="H9" i="8"/>
  <c r="H10" i="8"/>
  <c r="H11" i="8"/>
  <c r="K11" i="8" s="1"/>
  <c r="J7" i="8"/>
  <c r="G130" i="8"/>
  <c r="B130" i="8" s="1"/>
  <c r="G118" i="8"/>
  <c r="B118" i="8" s="1"/>
  <c r="G106" i="8"/>
  <c r="B106" i="8" s="1"/>
  <c r="G84" i="8"/>
  <c r="B84" i="8" s="1"/>
  <c r="J77" i="8"/>
  <c r="J76" i="8"/>
  <c r="J75" i="8"/>
  <c r="J74" i="8"/>
  <c r="J73" i="8"/>
  <c r="J71" i="8"/>
  <c r="J70" i="8"/>
  <c r="J69" i="8"/>
  <c r="J68" i="8"/>
  <c r="J67" i="8"/>
  <c r="J62" i="8"/>
  <c r="J61" i="8"/>
  <c r="J60" i="8"/>
  <c r="J59" i="8"/>
  <c r="J58" i="8"/>
  <c r="J56" i="8"/>
  <c r="J55" i="8"/>
  <c r="J54" i="8"/>
  <c r="J53" i="8"/>
  <c r="J52" i="8"/>
  <c r="J47" i="8"/>
  <c r="J46" i="8"/>
  <c r="J45" i="8"/>
  <c r="J44" i="8"/>
  <c r="J43" i="8"/>
  <c r="J41" i="8"/>
  <c r="J40" i="8"/>
  <c r="J39" i="8"/>
  <c r="J38" i="8"/>
  <c r="J37" i="8"/>
  <c r="J17" i="8"/>
  <c r="J16" i="8"/>
  <c r="J15" i="8"/>
  <c r="J14" i="8"/>
  <c r="J13" i="8"/>
  <c r="J8" i="8"/>
  <c r="J9" i="8"/>
  <c r="J10" i="8"/>
  <c r="J11" i="8"/>
  <c r="F8" i="11"/>
  <c r="F47" i="11"/>
  <c r="I46" i="11"/>
  <c r="H45" i="11"/>
  <c r="G44" i="11"/>
  <c r="F43" i="11"/>
  <c r="F39" i="11"/>
  <c r="F38" i="11"/>
  <c r="F37" i="11"/>
  <c r="I36" i="11"/>
  <c r="H35" i="11"/>
  <c r="G34" i="11"/>
  <c r="F33" i="11"/>
  <c r="I29" i="11"/>
  <c r="I28" i="11"/>
  <c r="I26" i="11"/>
  <c r="H25" i="11"/>
  <c r="F24" i="11"/>
  <c r="F22" i="11"/>
  <c r="F20" i="11"/>
  <c r="F19" i="11"/>
  <c r="F18" i="11"/>
  <c r="F16" i="11"/>
  <c r="F15" i="11"/>
  <c r="F14" i="11"/>
  <c r="F13" i="11"/>
  <c r="F11" i="11"/>
  <c r="F10" i="11"/>
  <c r="F7" i="11"/>
  <c r="Q55" i="6" l="1"/>
  <c r="E54" i="6"/>
  <c r="E45" i="8"/>
  <c r="K45" i="8" s="1"/>
  <c r="E43" i="8"/>
  <c r="K43" i="8" s="1"/>
  <c r="J109" i="8" s="1"/>
  <c r="F46" i="5"/>
  <c r="F51" i="5" s="1"/>
  <c r="O47" i="5"/>
  <c r="O46" i="5" s="1"/>
  <c r="O51" i="5" s="1"/>
  <c r="H19" i="6"/>
  <c r="K41" i="6"/>
  <c r="E41" i="6"/>
  <c r="G46" i="5"/>
  <c r="G51" i="5" s="1"/>
  <c r="E46" i="5"/>
  <c r="E51" i="5" s="1"/>
  <c r="E53" i="13"/>
  <c r="D7" i="10" s="1"/>
  <c r="Q37" i="13"/>
  <c r="E42" i="13"/>
  <c r="E44" i="13" s="1"/>
  <c r="C7" i="10" s="1"/>
  <c r="K9" i="8"/>
  <c r="Q25" i="6"/>
  <c r="Q57" i="7"/>
  <c r="Q52" i="7"/>
  <c r="Q20" i="5"/>
  <c r="Q25" i="5"/>
  <c r="F19" i="6"/>
  <c r="N19" i="6"/>
  <c r="F19" i="7"/>
  <c r="E56" i="13"/>
  <c r="Q55" i="13"/>
  <c r="Q25" i="7"/>
  <c r="F39" i="7"/>
  <c r="H19" i="7"/>
  <c r="Q20" i="7"/>
  <c r="Q34" i="7"/>
  <c r="O19" i="5"/>
  <c r="O37" i="5" s="1"/>
  <c r="Q13" i="6"/>
  <c r="E37" i="8" s="1"/>
  <c r="L37" i="8" s="1"/>
  <c r="K39" i="7"/>
  <c r="E19" i="7"/>
  <c r="E39" i="7" s="1"/>
  <c r="M19" i="7"/>
  <c r="M39" i="7" s="1"/>
  <c r="K19" i="5"/>
  <c r="Q20" i="6"/>
  <c r="O19" i="6"/>
  <c r="O53" i="7"/>
  <c r="H39" i="7"/>
  <c r="J19" i="7"/>
  <c r="J39" i="7" s="1"/>
  <c r="E63" i="6"/>
  <c r="H31" i="5"/>
  <c r="H48" i="5" s="1"/>
  <c r="Q13" i="5"/>
  <c r="E7" i="8" s="1"/>
  <c r="L7" i="8" s="1"/>
  <c r="Q105" i="12"/>
  <c r="Q57" i="12"/>
  <c r="Q23" i="12"/>
  <c r="K110" i="12"/>
  <c r="Q18" i="12"/>
  <c r="Q85" i="12"/>
  <c r="Q92" i="12"/>
  <c r="Q13" i="12"/>
  <c r="M79" i="12"/>
  <c r="H79" i="12"/>
  <c r="L79" i="12"/>
  <c r="K79" i="12"/>
  <c r="F79" i="12"/>
  <c r="N79" i="12"/>
  <c r="I79" i="12"/>
  <c r="J79" i="12"/>
  <c r="O29" i="12"/>
  <c r="G79" i="12"/>
  <c r="O79" i="12"/>
  <c r="H44" i="12"/>
  <c r="Q73" i="12"/>
  <c r="Q80" i="12"/>
  <c r="E79" i="12"/>
  <c r="M29" i="12"/>
  <c r="G29" i="12"/>
  <c r="I29" i="12"/>
  <c r="L29" i="12"/>
  <c r="E29" i="12"/>
  <c r="F29" i="12"/>
  <c r="N29" i="12"/>
  <c r="K29" i="12"/>
  <c r="J29" i="12"/>
  <c r="H29" i="12"/>
  <c r="F44" i="12"/>
  <c r="N44" i="12"/>
  <c r="J44" i="12"/>
  <c r="E44" i="12"/>
  <c r="M44" i="12"/>
  <c r="G44" i="12"/>
  <c r="O44" i="12"/>
  <c r="I44" i="12"/>
  <c r="K44" i="12"/>
  <c r="L44" i="12"/>
  <c r="Q50" i="12"/>
  <c r="Q38" i="12"/>
  <c r="N39" i="7"/>
  <c r="Q13" i="7"/>
  <c r="F65" i="12"/>
  <c r="F100" i="12" s="1"/>
  <c r="F110" i="12" s="1"/>
  <c r="L65" i="12"/>
  <c r="L100" i="12" s="1"/>
  <c r="L110" i="12" s="1"/>
  <c r="E65" i="12"/>
  <c r="E100" i="12" s="1"/>
  <c r="E110" i="12" s="1"/>
  <c r="M65" i="12"/>
  <c r="M100" i="12" s="1"/>
  <c r="M110" i="12" s="1"/>
  <c r="N65" i="12"/>
  <c r="N100" i="12" s="1"/>
  <c r="N110" i="12" s="1"/>
  <c r="G65" i="12"/>
  <c r="G100" i="12" s="1"/>
  <c r="G110" i="12" s="1"/>
  <c r="Q45" i="12"/>
  <c r="H65" i="12"/>
  <c r="H100" i="12" s="1"/>
  <c r="H110" i="12" s="1"/>
  <c r="I65" i="12"/>
  <c r="I100" i="12" s="1"/>
  <c r="I110" i="12" s="1"/>
  <c r="O65" i="12"/>
  <c r="O100" i="12" s="1"/>
  <c r="O110" i="12" s="1"/>
  <c r="J65" i="12"/>
  <c r="J100" i="12" s="1"/>
  <c r="J110" i="12" s="1"/>
  <c r="G19" i="7"/>
  <c r="G39" i="7" s="1"/>
  <c r="O19" i="7"/>
  <c r="O39" i="7" s="1"/>
  <c r="O44" i="7" s="1"/>
  <c r="L19" i="7"/>
  <c r="L39" i="7" s="1"/>
  <c r="I19" i="7"/>
  <c r="I39" i="7" s="1"/>
  <c r="G19" i="6"/>
  <c r="K19" i="6"/>
  <c r="L19" i="6"/>
  <c r="L43" i="7"/>
  <c r="J43" i="7"/>
  <c r="M43" i="7"/>
  <c r="M44" i="7" s="1"/>
  <c r="I43" i="7"/>
  <c r="E43" i="7"/>
  <c r="E53" i="7" s="1"/>
  <c r="H43" i="7"/>
  <c r="L76" i="8"/>
  <c r="L56" i="8"/>
  <c r="L40" i="8"/>
  <c r="L16" i="8"/>
  <c r="L8" i="8"/>
  <c r="L11" i="8"/>
  <c r="L17" i="8"/>
  <c r="L61" i="8"/>
  <c r="L60" i="8"/>
  <c r="O67" i="7"/>
  <c r="O62" i="7"/>
  <c r="K43" i="7"/>
  <c r="E66" i="7"/>
  <c r="M66" i="7"/>
  <c r="F43" i="7"/>
  <c r="N43" i="7"/>
  <c r="G43" i="7"/>
  <c r="G53" i="7" s="1"/>
  <c r="M19" i="6"/>
  <c r="I19" i="6"/>
  <c r="E19" i="6"/>
  <c r="E37" i="6" s="1"/>
  <c r="J19" i="6"/>
  <c r="O37" i="6"/>
  <c r="F41" i="6"/>
  <c r="N41" i="6"/>
  <c r="L41" i="6"/>
  <c r="E50" i="6"/>
  <c r="M41" i="6"/>
  <c r="G41" i="6"/>
  <c r="O41" i="6"/>
  <c r="I41" i="6"/>
  <c r="J41" i="6"/>
  <c r="H41" i="6"/>
  <c r="M19" i="5"/>
  <c r="H19" i="5"/>
  <c r="E19" i="5"/>
  <c r="E37" i="5" s="1"/>
  <c r="G19" i="5"/>
  <c r="G37" i="5" s="1"/>
  <c r="J19" i="5"/>
  <c r="I19" i="5"/>
  <c r="F19" i="5"/>
  <c r="F37" i="5" s="1"/>
  <c r="N19" i="5"/>
  <c r="L19" i="5"/>
  <c r="L71" i="8"/>
  <c r="L133" i="8"/>
  <c r="L132" i="8"/>
  <c r="L131" i="8"/>
  <c r="L68" i="8"/>
  <c r="L77" i="8"/>
  <c r="L73" i="8"/>
  <c r="L67" i="8"/>
  <c r="L75" i="8"/>
  <c r="L74" i="8"/>
  <c r="L121" i="8"/>
  <c r="L120" i="8"/>
  <c r="L119" i="8"/>
  <c r="K60" i="8"/>
  <c r="L52" i="8"/>
  <c r="L53" i="8"/>
  <c r="L62" i="8"/>
  <c r="L54" i="8"/>
  <c r="L55" i="8"/>
  <c r="L46" i="8"/>
  <c r="L10" i="8"/>
  <c r="L9" i="8"/>
  <c r="K46" i="8"/>
  <c r="L38" i="8"/>
  <c r="L47" i="8"/>
  <c r="L39" i="8"/>
  <c r="L41" i="8"/>
  <c r="K62" i="8"/>
  <c r="L59" i="8"/>
  <c r="L58" i="8"/>
  <c r="K53" i="8"/>
  <c r="K68" i="8"/>
  <c r="L69" i="8"/>
  <c r="L70" i="8"/>
  <c r="K73" i="8"/>
  <c r="K74" i="8"/>
  <c r="K77" i="8"/>
  <c r="K40" i="8"/>
  <c r="K16" i="8"/>
  <c r="K10" i="8"/>
  <c r="K8" i="8"/>
  <c r="K37" i="8" l="1"/>
  <c r="J107" i="8" s="1"/>
  <c r="L43" i="8"/>
  <c r="L45" i="8"/>
  <c r="K107" i="8"/>
  <c r="E55" i="5"/>
  <c r="E60" i="5" s="1"/>
  <c r="K85" i="8"/>
  <c r="H46" i="5"/>
  <c r="H51" i="5" s="1"/>
  <c r="K7" i="8"/>
  <c r="J85" i="8" s="1"/>
  <c r="Q47" i="5"/>
  <c r="Q42" i="13"/>
  <c r="E58" i="13"/>
  <c r="E7" i="10" s="1"/>
  <c r="Q56" i="13"/>
  <c r="Q19" i="5"/>
  <c r="H37" i="5"/>
  <c r="Q29" i="12"/>
  <c r="E112" i="12"/>
  <c r="D10" i="10" s="1"/>
  <c r="L94" i="12"/>
  <c r="L96" i="12" s="1"/>
  <c r="L59" i="12"/>
  <c r="H94" i="12"/>
  <c r="H96" i="12" s="1"/>
  <c r="H59" i="12"/>
  <c r="G94" i="12"/>
  <c r="G96" i="12" s="1"/>
  <c r="G59" i="12"/>
  <c r="I94" i="12"/>
  <c r="I61" i="12" s="1"/>
  <c r="I66" i="12" s="1"/>
  <c r="I59" i="12"/>
  <c r="J94" i="12"/>
  <c r="J96" i="12" s="1"/>
  <c r="J59" i="12"/>
  <c r="M94" i="12"/>
  <c r="M96" i="12" s="1"/>
  <c r="M59" i="12"/>
  <c r="O94" i="12"/>
  <c r="O61" i="12" s="1"/>
  <c r="O66" i="12" s="1"/>
  <c r="O59" i="12"/>
  <c r="K94" i="12"/>
  <c r="K96" i="12" s="1"/>
  <c r="K59" i="12"/>
  <c r="N94" i="12"/>
  <c r="N61" i="12" s="1"/>
  <c r="N66" i="12" s="1"/>
  <c r="N59" i="12"/>
  <c r="E59" i="12"/>
  <c r="E94" i="12"/>
  <c r="F94" i="12"/>
  <c r="F96" i="12" s="1"/>
  <c r="F59" i="12"/>
  <c r="Q79" i="12"/>
  <c r="Q44" i="12"/>
  <c r="Q66" i="7"/>
  <c r="Q39" i="7"/>
  <c r="Q19" i="7"/>
  <c r="H62" i="7"/>
  <c r="H53" i="7"/>
  <c r="K44" i="7"/>
  <c r="K53" i="7"/>
  <c r="E62" i="7"/>
  <c r="I44" i="7"/>
  <c r="I53" i="7"/>
  <c r="M62" i="7"/>
  <c r="M53" i="7"/>
  <c r="J67" i="7"/>
  <c r="J53" i="7"/>
  <c r="N62" i="7"/>
  <c r="N53" i="7"/>
  <c r="L67" i="7"/>
  <c r="L53" i="7"/>
  <c r="F62" i="7"/>
  <c r="F53" i="7"/>
  <c r="E59" i="6"/>
  <c r="E42" i="6"/>
  <c r="O59" i="6"/>
  <c r="O50" i="6"/>
  <c r="Q19" i="6"/>
  <c r="Q38" i="6" s="1"/>
  <c r="N68" i="6" s="1"/>
  <c r="M67" i="7"/>
  <c r="I67" i="7"/>
  <c r="L44" i="7"/>
  <c r="F67" i="7"/>
  <c r="H67" i="7"/>
  <c r="J44" i="7"/>
  <c r="E67" i="7"/>
  <c r="E44" i="7"/>
  <c r="L62" i="7"/>
  <c r="I62" i="7"/>
  <c r="J62" i="7"/>
  <c r="F44" i="7"/>
  <c r="N44" i="7"/>
  <c r="K67" i="7"/>
  <c r="K62" i="7"/>
  <c r="H44" i="7"/>
  <c r="G62" i="7"/>
  <c r="G67" i="7"/>
  <c r="G44" i="7"/>
  <c r="N67" i="7"/>
  <c r="O42" i="6"/>
  <c r="O64" i="6"/>
  <c r="E64" i="6"/>
  <c r="F42" i="5"/>
  <c r="F55" i="5"/>
  <c r="G42" i="5"/>
  <c r="G55" i="5"/>
  <c r="O42" i="5"/>
  <c r="O55" i="5"/>
  <c r="O56" i="5" s="1"/>
  <c r="H55" i="5" l="1"/>
  <c r="L107" i="8"/>
  <c r="E56" i="5"/>
  <c r="K109" i="8"/>
  <c r="L109" i="8" s="1"/>
  <c r="L85" i="8"/>
  <c r="N49" i="6"/>
  <c r="N32" i="6"/>
  <c r="I68" i="6"/>
  <c r="M68" i="6"/>
  <c r="J68" i="6"/>
  <c r="L68" i="6"/>
  <c r="G68" i="6"/>
  <c r="K68" i="6"/>
  <c r="F68" i="6"/>
  <c r="H68" i="6"/>
  <c r="G56" i="5"/>
  <c r="G60" i="5"/>
  <c r="F56" i="5"/>
  <c r="F60" i="5"/>
  <c r="H56" i="5"/>
  <c r="H60" i="5"/>
  <c r="L96" i="8"/>
  <c r="E42" i="5"/>
  <c r="H42" i="5"/>
  <c r="J31" i="5"/>
  <c r="J48" i="5" s="1"/>
  <c r="I31" i="5"/>
  <c r="I48" i="5" s="1"/>
  <c r="Q53" i="7"/>
  <c r="J61" i="12"/>
  <c r="J66" i="12" s="1"/>
  <c r="N96" i="12"/>
  <c r="N101" i="12" s="1"/>
  <c r="E61" i="12"/>
  <c r="E66" i="12" s="1"/>
  <c r="Q59" i="12"/>
  <c r="E96" i="12"/>
  <c r="E101" i="12" s="1"/>
  <c r="Q94" i="12"/>
  <c r="K101" i="12"/>
  <c r="K114" i="12"/>
  <c r="K115" i="12" s="1"/>
  <c r="F101" i="12"/>
  <c r="F114" i="12"/>
  <c r="F115" i="12" s="1"/>
  <c r="G101" i="12"/>
  <c r="G114" i="12"/>
  <c r="G115" i="12" s="1"/>
  <c r="E114" i="12"/>
  <c r="K61" i="12"/>
  <c r="K66" i="12" s="1"/>
  <c r="M101" i="12"/>
  <c r="M114" i="12"/>
  <c r="M115" i="12" s="1"/>
  <c r="H101" i="12"/>
  <c r="H114" i="12"/>
  <c r="H115" i="12" s="1"/>
  <c r="J101" i="12"/>
  <c r="J114" i="12"/>
  <c r="J115" i="12" s="1"/>
  <c r="L101" i="12"/>
  <c r="L114" i="12"/>
  <c r="L115" i="12" s="1"/>
  <c r="H61" i="12"/>
  <c r="H66" i="12" s="1"/>
  <c r="L61" i="12"/>
  <c r="L66" i="12" s="1"/>
  <c r="I96" i="12"/>
  <c r="O96" i="12"/>
  <c r="G61" i="12"/>
  <c r="G66" i="12" s="1"/>
  <c r="F61" i="12"/>
  <c r="F66" i="12" s="1"/>
  <c r="M61" i="12"/>
  <c r="M66" i="12" s="1"/>
  <c r="Q44" i="7"/>
  <c r="Q67" i="7"/>
  <c r="E55" i="7"/>
  <c r="C9" i="10" s="1"/>
  <c r="Q62" i="7"/>
  <c r="Q110" i="12"/>
  <c r="E46" i="7"/>
  <c r="E69" i="7"/>
  <c r="E9" i="10" s="1"/>
  <c r="E64" i="7"/>
  <c r="D9" i="10" s="1"/>
  <c r="F49" i="6" l="1"/>
  <c r="F50" i="6" s="1"/>
  <c r="F32" i="6"/>
  <c r="J49" i="6"/>
  <c r="J50" i="6" s="1"/>
  <c r="J32" i="6"/>
  <c r="J31" i="6" s="1"/>
  <c r="K49" i="6"/>
  <c r="K50" i="6" s="1"/>
  <c r="K32" i="6"/>
  <c r="M32" i="6"/>
  <c r="M31" i="6" s="1"/>
  <c r="M49" i="6"/>
  <c r="M50" i="6" s="1"/>
  <c r="Q68" i="6"/>
  <c r="I42" i="9" s="1"/>
  <c r="G32" i="6"/>
  <c r="G31" i="6" s="1"/>
  <c r="G49" i="6"/>
  <c r="G50" i="6" s="1"/>
  <c r="I32" i="6"/>
  <c r="I31" i="6" s="1"/>
  <c r="I49" i="6"/>
  <c r="I50" i="6" s="1"/>
  <c r="H32" i="6"/>
  <c r="H31" i="6" s="1"/>
  <c r="H49" i="6"/>
  <c r="H50" i="6" s="1"/>
  <c r="L32" i="6"/>
  <c r="L31" i="6" s="1"/>
  <c r="L49" i="6"/>
  <c r="L50" i="6" s="1"/>
  <c r="K31" i="6"/>
  <c r="N31" i="6"/>
  <c r="N50" i="6"/>
  <c r="J37" i="5"/>
  <c r="J42" i="5" s="1"/>
  <c r="J46" i="5"/>
  <c r="J51" i="5" s="1"/>
  <c r="I46" i="5"/>
  <c r="G8" i="10"/>
  <c r="I37" i="5"/>
  <c r="N114" i="12"/>
  <c r="N115" i="12" s="1"/>
  <c r="Q96" i="12"/>
  <c r="O101" i="12"/>
  <c r="O114" i="12"/>
  <c r="O115" i="12" s="1"/>
  <c r="I101" i="12"/>
  <c r="I114" i="12"/>
  <c r="I115" i="12" s="1"/>
  <c r="E115" i="12"/>
  <c r="Q66" i="12"/>
  <c r="E68" i="12"/>
  <c r="Q61" i="12"/>
  <c r="I50" i="9" l="1"/>
  <c r="I46" i="9"/>
  <c r="I44" i="9"/>
  <c r="I48" i="9"/>
  <c r="I28" i="9"/>
  <c r="I14" i="9"/>
  <c r="L37" i="6"/>
  <c r="L42" i="6" s="1"/>
  <c r="L56" i="6"/>
  <c r="L54" i="6" s="1"/>
  <c r="N37" i="6"/>
  <c r="N42" i="6" s="1"/>
  <c r="N56" i="6"/>
  <c r="N54" i="6" s="1"/>
  <c r="I37" i="6"/>
  <c r="I42" i="6" s="1"/>
  <c r="I56" i="6"/>
  <c r="I54" i="6" s="1"/>
  <c r="G37" i="6"/>
  <c r="G42" i="6" s="1"/>
  <c r="G56" i="6"/>
  <c r="G54" i="6" s="1"/>
  <c r="H37" i="6"/>
  <c r="H42" i="6" s="1"/>
  <c r="H56" i="6"/>
  <c r="H54" i="6" s="1"/>
  <c r="K37" i="6"/>
  <c r="K42" i="6" s="1"/>
  <c r="K56" i="6"/>
  <c r="K54" i="6" s="1"/>
  <c r="M37" i="6"/>
  <c r="M42" i="6" s="1"/>
  <c r="M56" i="6"/>
  <c r="M54" i="6" s="1"/>
  <c r="J37" i="6"/>
  <c r="J42" i="6" s="1"/>
  <c r="J56" i="6"/>
  <c r="J54" i="6" s="1"/>
  <c r="J55" i="5"/>
  <c r="I51" i="5"/>
  <c r="L31" i="5"/>
  <c r="L48" i="5" s="1"/>
  <c r="I55" i="5"/>
  <c r="I60" i="5" s="1"/>
  <c r="I42" i="5"/>
  <c r="K31" i="5"/>
  <c r="E103" i="12"/>
  <c r="C10" i="10" s="1"/>
  <c r="Q114" i="12"/>
  <c r="E117" i="12"/>
  <c r="E10" i="10" s="1"/>
  <c r="Q115" i="12"/>
  <c r="Q101" i="12"/>
  <c r="I18" i="9" l="1"/>
  <c r="I16" i="9"/>
  <c r="I22" i="9"/>
  <c r="I20" i="9"/>
  <c r="I34" i="9"/>
  <c r="I32" i="9"/>
  <c r="I30" i="9"/>
  <c r="I36" i="9"/>
  <c r="K48" i="5"/>
  <c r="K46" i="5" s="1"/>
  <c r="K51" i="5" s="1"/>
  <c r="J59" i="6"/>
  <c r="J63" i="6"/>
  <c r="J64" i="6" s="1"/>
  <c r="K59" i="6"/>
  <c r="K63" i="6"/>
  <c r="K64" i="6" s="1"/>
  <c r="G59" i="6"/>
  <c r="G63" i="6"/>
  <c r="G64" i="6" s="1"/>
  <c r="N59" i="6"/>
  <c r="N63" i="6"/>
  <c r="N64" i="6" s="1"/>
  <c r="H59" i="6"/>
  <c r="H63" i="6"/>
  <c r="H64" i="6" s="1"/>
  <c r="I59" i="6"/>
  <c r="I63" i="6"/>
  <c r="I64" i="6" s="1"/>
  <c r="L59" i="6"/>
  <c r="L63" i="6"/>
  <c r="L64" i="6" s="1"/>
  <c r="M59" i="6"/>
  <c r="M63" i="6"/>
  <c r="M64" i="6" s="1"/>
  <c r="J56" i="5"/>
  <c r="J60" i="5"/>
  <c r="L37" i="5"/>
  <c r="L42" i="5" s="1"/>
  <c r="L46" i="5"/>
  <c r="L51" i="5" s="1"/>
  <c r="M31" i="5"/>
  <c r="M48" i="5" s="1"/>
  <c r="K37" i="5"/>
  <c r="I56" i="5"/>
  <c r="L55" i="5" l="1"/>
  <c r="M37" i="5"/>
  <c r="M42" i="5" s="1"/>
  <c r="M46" i="5"/>
  <c r="M51" i="5" s="1"/>
  <c r="N31" i="5"/>
  <c r="N48" i="5" s="1"/>
  <c r="K42" i="5"/>
  <c r="K55" i="5"/>
  <c r="K60" i="5" s="1"/>
  <c r="L56" i="5" l="1"/>
  <c r="L60" i="5"/>
  <c r="N37" i="5"/>
  <c r="N42" i="5" s="1"/>
  <c r="Q42" i="5" s="1"/>
  <c r="M55" i="5"/>
  <c r="Q32" i="5"/>
  <c r="E13" i="8" s="1"/>
  <c r="Q31" i="5"/>
  <c r="E14" i="8" s="1"/>
  <c r="K56" i="5"/>
  <c r="E44" i="5" l="1"/>
  <c r="C6" i="10" s="1"/>
  <c r="M56" i="5"/>
  <c r="M60" i="5"/>
  <c r="Q37" i="5"/>
  <c r="N46" i="5"/>
  <c r="Q48" i="5"/>
  <c r="E15" i="8"/>
  <c r="K14" i="8"/>
  <c r="J86" i="8" s="1"/>
  <c r="L14" i="8"/>
  <c r="K86" i="8" s="1"/>
  <c r="N51" i="5" l="1"/>
  <c r="Q46" i="5"/>
  <c r="N55" i="5"/>
  <c r="L97" i="8"/>
  <c r="L15" i="8"/>
  <c r="K15" i="8"/>
  <c r="L13" i="8"/>
  <c r="K13" i="8"/>
  <c r="N60" i="5" l="1"/>
  <c r="Q60" i="5" s="1"/>
  <c r="C42" i="9" s="1"/>
  <c r="N56" i="5"/>
  <c r="Q55" i="5"/>
  <c r="E53" i="5"/>
  <c r="D6" i="10" s="1"/>
  <c r="Q51" i="5"/>
  <c r="J87" i="8"/>
  <c r="L98" i="8"/>
  <c r="K87" i="8"/>
  <c r="L86" i="8"/>
  <c r="C44" i="9" l="1"/>
  <c r="C48" i="9"/>
  <c r="C46" i="9"/>
  <c r="C50" i="9"/>
  <c r="H6" i="10"/>
  <c r="C14" i="9"/>
  <c r="C28" i="9"/>
  <c r="Q56" i="5"/>
  <c r="E58" i="5"/>
  <c r="E6" i="10" s="1"/>
  <c r="L87" i="8"/>
  <c r="C34" i="9" l="1"/>
  <c r="C32" i="9"/>
  <c r="C36" i="9"/>
  <c r="C30" i="9"/>
  <c r="C16" i="9"/>
  <c r="C20" i="9"/>
  <c r="C22" i="9"/>
  <c r="C18" i="9"/>
  <c r="F9" i="10"/>
  <c r="F10" i="10"/>
  <c r="H8" i="10"/>
  <c r="Q50" i="6" l="1"/>
  <c r="E52" i="6"/>
  <c r="C8" i="10" s="1"/>
  <c r="Q49" i="6"/>
  <c r="F31" i="6" l="1"/>
  <c r="F56" i="6" s="1"/>
  <c r="Q32" i="6"/>
  <c r="F54" i="6" l="1"/>
  <c r="Q56" i="6"/>
  <c r="Q31" i="6"/>
  <c r="E44" i="8" s="1"/>
  <c r="F37" i="6"/>
  <c r="F63" i="6" l="1"/>
  <c r="Q54" i="6"/>
  <c r="F59" i="6"/>
  <c r="Q37" i="6"/>
  <c r="E39" i="6"/>
  <c r="K44" i="8"/>
  <c r="J108" i="8" s="1"/>
  <c r="L44" i="8"/>
  <c r="K108" i="8" s="1"/>
  <c r="F42" i="6"/>
  <c r="Q63" i="6" l="1"/>
  <c r="F64" i="6"/>
  <c r="Q59" i="6"/>
  <c r="E61" i="6"/>
  <c r="D8" i="10" s="1"/>
  <c r="L108" i="8"/>
  <c r="E44" i="6"/>
  <c r="Q42" i="6"/>
  <c r="Q64" i="6" l="1"/>
  <c r="E66" i="6"/>
  <c r="E8" i="10" s="1"/>
  <c r="F8"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5" authorId="0" shapeId="0" xr:uid="{00000000-0006-0000-0700-000001000000}">
      <text>
        <r>
          <rPr>
            <b/>
            <sz val="9"/>
            <color indexed="81"/>
            <rFont val="Tahoma"/>
            <family val="2"/>
            <charset val="186"/>
          </rPr>
          <t>BR - būvniecības risks
PI - pieejamības risks
PR - pieprasījuma risks</t>
        </r>
        <r>
          <rPr>
            <sz val="9"/>
            <color indexed="81"/>
            <rFont val="Tahoma"/>
            <family val="2"/>
            <charset val="186"/>
          </rPr>
          <t xml:space="preserve">
</t>
        </r>
      </text>
    </comment>
    <comment ref="D5" authorId="0" shapeId="0" xr:uid="{00000000-0006-0000-0700-000002000000}">
      <text>
        <r>
          <rPr>
            <b/>
            <sz val="9"/>
            <color indexed="81"/>
            <rFont val="Tahoma"/>
            <family val="2"/>
            <charset val="186"/>
          </rPr>
          <t>Definēt nolaižamo izvēlni atbilstoši pozīcijām NPV darba lapās</t>
        </r>
        <r>
          <rPr>
            <sz val="9"/>
            <color indexed="81"/>
            <rFont val="Tahoma"/>
            <family val="2"/>
            <charset val="186"/>
          </rPr>
          <t xml:space="preserve">
</t>
        </r>
      </text>
    </comment>
    <comment ref="E5" authorId="0" shapeId="0" xr:uid="{00000000-0006-0000-0700-000003000000}">
      <text>
        <r>
          <rPr>
            <b/>
            <sz val="9"/>
            <color indexed="81"/>
            <rFont val="Tahoma"/>
            <family val="2"/>
            <charset val="186"/>
          </rPr>
          <t>Izveidot formulu uz attiecīgās NPV darba lapas riska bāzes izmaksu summu</t>
        </r>
        <r>
          <rPr>
            <sz val="9"/>
            <color indexed="81"/>
            <rFont val="Tahoma"/>
            <family val="2"/>
            <charset val="186"/>
          </rPr>
          <t xml:space="preserve">
</t>
        </r>
        <r>
          <rPr>
            <b/>
            <sz val="9"/>
            <color indexed="81"/>
            <rFont val="Tahoma"/>
            <family val="2"/>
          </rPr>
          <t>Ja riska bāzei tiek norādīti ieņēmumi, tad pirms saites uz attiecīgo NPV darba lapas šūnu jāpievieno "-" zīme</t>
        </r>
      </text>
    </comment>
    <comment ref="C20" authorId="0" shapeId="0" xr:uid="{6F7E0305-ADE9-4F03-8079-2D27A8CFF1EF}">
      <text>
        <r>
          <rPr>
            <b/>
            <sz val="9"/>
            <color indexed="81"/>
            <rFont val="Tahoma"/>
            <family val="2"/>
            <charset val="186"/>
          </rPr>
          <t>BR - būvniecības risks
PI - pieejamības risks
PR - pieprasījuma risks</t>
        </r>
        <r>
          <rPr>
            <sz val="9"/>
            <color indexed="81"/>
            <rFont val="Tahoma"/>
            <family val="2"/>
            <charset val="186"/>
          </rPr>
          <t xml:space="preserve">
</t>
        </r>
      </text>
    </comment>
    <comment ref="D20" authorId="0" shapeId="0" xr:uid="{AF5C80CE-5619-4DC4-9A5B-9BA155B83DEE}">
      <text>
        <r>
          <rPr>
            <b/>
            <sz val="9"/>
            <color indexed="81"/>
            <rFont val="Tahoma"/>
            <family val="2"/>
            <charset val="186"/>
          </rPr>
          <t>Definēt nolaižamo izvēlni atbilstoši pozīcijām NPV darba lapās</t>
        </r>
        <r>
          <rPr>
            <sz val="9"/>
            <color indexed="81"/>
            <rFont val="Tahoma"/>
            <family val="2"/>
            <charset val="186"/>
          </rPr>
          <t xml:space="preserve">
</t>
        </r>
      </text>
    </comment>
    <comment ref="E20" authorId="0" shapeId="0" xr:uid="{4D919F55-10CF-4C2B-A66D-7A32C22EEE74}">
      <text>
        <r>
          <rPr>
            <b/>
            <sz val="9"/>
            <color indexed="81"/>
            <rFont val="Tahoma"/>
            <family val="2"/>
            <charset val="186"/>
          </rPr>
          <t>Izveidot formulu uz attiecīgās NPV darba lapas riska bāzes izmaksu summu</t>
        </r>
        <r>
          <rPr>
            <sz val="9"/>
            <color indexed="81"/>
            <rFont val="Tahoma"/>
            <family val="2"/>
            <charset val="186"/>
          </rPr>
          <t xml:space="preserve">
</t>
        </r>
        <r>
          <rPr>
            <b/>
            <sz val="9"/>
            <color indexed="81"/>
            <rFont val="Tahoma"/>
            <family val="2"/>
          </rPr>
          <t>Ja riska bāzei tiek norādīti ieņēmumi, tad pirms saites uz attiecīgo NPV darba lapas šūnu jāpievieno "-" zīme</t>
        </r>
      </text>
    </comment>
    <comment ref="C35" authorId="0" shapeId="0" xr:uid="{00000000-0006-0000-0700-000004000000}">
      <text>
        <r>
          <rPr>
            <b/>
            <sz val="9"/>
            <color indexed="81"/>
            <rFont val="Tahoma"/>
            <family val="2"/>
            <charset val="186"/>
          </rPr>
          <t>BR - būvniecības risks
PI - piedāvājuma risks
PR - pieprasījuma risks</t>
        </r>
        <r>
          <rPr>
            <sz val="9"/>
            <color indexed="81"/>
            <rFont val="Tahoma"/>
            <family val="2"/>
            <charset val="186"/>
          </rPr>
          <t xml:space="preserve">
</t>
        </r>
      </text>
    </comment>
    <comment ref="D35" authorId="0" shapeId="0" xr:uid="{00000000-0006-0000-0700-000005000000}">
      <text>
        <r>
          <rPr>
            <b/>
            <sz val="9"/>
            <color indexed="81"/>
            <rFont val="Tahoma"/>
            <family val="2"/>
            <charset val="186"/>
          </rPr>
          <t>Definēt nolaižamo izvēlni atbilstoši pozīcijām NPV darba lapās</t>
        </r>
        <r>
          <rPr>
            <sz val="9"/>
            <color indexed="81"/>
            <rFont val="Tahoma"/>
            <family val="2"/>
            <charset val="186"/>
          </rPr>
          <t xml:space="preserve">
</t>
        </r>
      </text>
    </comment>
    <comment ref="E35" authorId="0" shapeId="0" xr:uid="{7DEDF19E-5252-472C-9542-E566F1CB52B9}">
      <text>
        <r>
          <rPr>
            <b/>
            <sz val="9"/>
            <color indexed="81"/>
            <rFont val="Tahoma"/>
            <family val="2"/>
            <charset val="186"/>
          </rPr>
          <t>Izveidot formulu uz attiecīgās NPV darba lapas riska bāzes izmaksu summu</t>
        </r>
        <r>
          <rPr>
            <sz val="9"/>
            <color indexed="81"/>
            <rFont val="Tahoma"/>
            <family val="2"/>
            <charset val="186"/>
          </rPr>
          <t xml:space="preserve">
</t>
        </r>
        <r>
          <rPr>
            <b/>
            <sz val="9"/>
            <color indexed="81"/>
            <rFont val="Tahoma"/>
            <family val="2"/>
          </rPr>
          <t>Ja riska bāzei tiek norādīti ieņēmumi, tad pirms saites uz attiecīgo NPV darba lapas šūnu jāpievieno "-" zīme</t>
        </r>
      </text>
    </comment>
    <comment ref="C50" authorId="0" shapeId="0" xr:uid="{00000000-0006-0000-0700-000007000000}">
      <text>
        <r>
          <rPr>
            <b/>
            <sz val="9"/>
            <color indexed="81"/>
            <rFont val="Tahoma"/>
            <family val="2"/>
            <charset val="186"/>
          </rPr>
          <t>BR - būvniecības risks
PI - piedāvājuma risks
PR - pieprasījuma risks</t>
        </r>
        <r>
          <rPr>
            <sz val="9"/>
            <color indexed="81"/>
            <rFont val="Tahoma"/>
            <family val="2"/>
            <charset val="186"/>
          </rPr>
          <t xml:space="preserve">
</t>
        </r>
      </text>
    </comment>
    <comment ref="D50" authorId="0" shapeId="0" xr:uid="{00000000-0006-0000-0700-000008000000}">
      <text>
        <r>
          <rPr>
            <b/>
            <sz val="9"/>
            <color indexed="81"/>
            <rFont val="Tahoma"/>
            <family val="2"/>
            <charset val="186"/>
          </rPr>
          <t>Definēt nolaižamo izvēlni atbilstoši pozīcijām NPV darba lapās</t>
        </r>
        <r>
          <rPr>
            <sz val="9"/>
            <color indexed="81"/>
            <rFont val="Tahoma"/>
            <family val="2"/>
            <charset val="186"/>
          </rPr>
          <t xml:space="preserve">
</t>
        </r>
      </text>
    </comment>
    <comment ref="E50" authorId="0" shapeId="0" xr:uid="{DB5697DC-6CA0-4D04-BFAB-72F5691E5D6B}">
      <text>
        <r>
          <rPr>
            <b/>
            <sz val="9"/>
            <color indexed="81"/>
            <rFont val="Tahoma"/>
            <family val="2"/>
            <charset val="186"/>
          </rPr>
          <t>Izveidot formulu uz attiecīgās NPV darba lapas riska bāzes izmaksu summu</t>
        </r>
        <r>
          <rPr>
            <sz val="9"/>
            <color indexed="81"/>
            <rFont val="Tahoma"/>
            <family val="2"/>
            <charset val="186"/>
          </rPr>
          <t xml:space="preserve">
</t>
        </r>
        <r>
          <rPr>
            <b/>
            <sz val="9"/>
            <color indexed="81"/>
            <rFont val="Tahoma"/>
            <family val="2"/>
          </rPr>
          <t>Ja riska bāzei tiek norādīti ieņēmumi, tad pirms saites uz attiecīgo NPV darba lapas šūnu jāpievieno "-" zīme</t>
        </r>
      </text>
    </comment>
    <comment ref="C65" authorId="0" shapeId="0" xr:uid="{00000000-0006-0000-0700-00000A000000}">
      <text>
        <r>
          <rPr>
            <b/>
            <sz val="9"/>
            <color indexed="81"/>
            <rFont val="Tahoma"/>
            <family val="2"/>
            <charset val="186"/>
          </rPr>
          <t>BR - būvniecības risks
PI - piedāvājuma risks
PR - pieprasījuma risks</t>
        </r>
        <r>
          <rPr>
            <sz val="9"/>
            <color indexed="81"/>
            <rFont val="Tahoma"/>
            <family val="2"/>
            <charset val="186"/>
          </rPr>
          <t xml:space="preserve">
</t>
        </r>
      </text>
    </comment>
    <comment ref="D65" authorId="0" shapeId="0" xr:uid="{00000000-0006-0000-0700-00000B000000}">
      <text>
        <r>
          <rPr>
            <b/>
            <sz val="9"/>
            <color indexed="81"/>
            <rFont val="Tahoma"/>
            <family val="2"/>
            <charset val="186"/>
          </rPr>
          <t>Definēt nolaižamo izvēlni atbilstoši pozīcijām NPV darba lapās</t>
        </r>
        <r>
          <rPr>
            <sz val="9"/>
            <color indexed="81"/>
            <rFont val="Tahoma"/>
            <family val="2"/>
            <charset val="186"/>
          </rPr>
          <t xml:space="preserve">
</t>
        </r>
      </text>
    </comment>
    <comment ref="E65" authorId="0" shapeId="0" xr:uid="{7C3E09A9-BC04-46DD-822A-384D46EC239E}">
      <text>
        <r>
          <rPr>
            <b/>
            <sz val="9"/>
            <color indexed="81"/>
            <rFont val="Tahoma"/>
            <family val="2"/>
            <charset val="186"/>
          </rPr>
          <t>Izveidot formulu uz attiecīgās NPV darba lapas riska bāzes izmaksu summu</t>
        </r>
        <r>
          <rPr>
            <sz val="9"/>
            <color indexed="81"/>
            <rFont val="Tahoma"/>
            <family val="2"/>
            <charset val="186"/>
          </rPr>
          <t xml:space="preserve">
</t>
        </r>
        <r>
          <rPr>
            <b/>
            <sz val="9"/>
            <color indexed="81"/>
            <rFont val="Tahoma"/>
            <family val="2"/>
          </rPr>
          <t>Ja riska bāzei tiek norādīti ieņēmumi, tad pirms saites uz attiecīgo NPV darba lapas šūnu jāpievieno "-" zīme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35" authorId="0" shapeId="0" xr:uid="{007C1110-7EFA-4EC8-9FC2-8544E4234166}">
      <text>
        <r>
          <rPr>
            <b/>
            <sz val="9"/>
            <color indexed="81"/>
            <rFont val="Tahoma"/>
            <family val="2"/>
          </rPr>
          <t xml:space="preserve">Pašvaldības līdzfinansējums par klientu aprūpi veido apt. 15% no būvniecības izmaksām. Šo faktoru nepieciešams detalizēti izvērtēt un aprakstīt FEA aprakstošajā daļā </t>
        </r>
        <r>
          <rPr>
            <sz val="9"/>
            <color indexed="81"/>
            <rFont val="Tahoma"/>
            <family val="2"/>
          </rPr>
          <t xml:space="preserve">
</t>
        </r>
      </text>
    </comment>
  </commentList>
</comments>
</file>

<file path=xl/sharedStrings.xml><?xml version="1.0" encoding="utf-8"?>
<sst xmlns="http://schemas.openxmlformats.org/spreadsheetml/2006/main" count="1020" uniqueCount="369">
  <si>
    <t>Publiskās un privātās partnerības projekta finanšu un ekonomiskie aprēķini</t>
  </si>
  <si>
    <t>Jā</t>
  </si>
  <si>
    <t>Nē</t>
  </si>
  <si>
    <t>Analizētās alternatīvas</t>
  </si>
  <si>
    <t>Atzīmēt</t>
  </si>
  <si>
    <t>PPP - partnerības iepirkums</t>
  </si>
  <si>
    <t>PPP - koncesija</t>
  </si>
  <si>
    <t>PPP - institucionālā partnerība</t>
  </si>
  <si>
    <t>[Mēnesis, gads]</t>
  </si>
  <si>
    <t>Šūnu formāts:</t>
  </si>
  <si>
    <t>Ievades šūna</t>
  </si>
  <si>
    <t>Rezultāta šūna</t>
  </si>
  <si>
    <t>N.p.k.</t>
  </si>
  <si>
    <t>Tēma</t>
  </si>
  <si>
    <t>Jautājums</t>
  </si>
  <si>
    <t>Automātiski BILANCES UZSKAITĒ</t>
  </si>
  <si>
    <t>ĻOTI AUGSTS BŪTISKUMS</t>
  </si>
  <si>
    <t>AUGSTS BŪTISKUMS</t>
  </si>
  <si>
    <t>VIDĒJS BŪTISKUMS</t>
  </si>
  <si>
    <t>1. Objekta ekspluatācija un uzturēšana</t>
  </si>
  <si>
    <t>1.1.</t>
  </si>
  <si>
    <t>Ekspluatācijas un uzturēšanas kvalitātes standarti</t>
  </si>
  <si>
    <t>1.2.</t>
  </si>
  <si>
    <t>Uzturēšanas rezerves fonds</t>
  </si>
  <si>
    <t>b) Vai līgumā ir paredzētas tiesības publiskajam partnerim saņemt daļu vai visu fonda pārpalikumu, ja faktiskās uzturēšanas izmaksas ir bijušas zemākas nekā paredzēts līguma slēgšanas brīdī?</t>
  </si>
  <si>
    <t>1.3.</t>
  </si>
  <si>
    <t>Uzrurēšanas izmaksu ietaupījums</t>
  </si>
  <si>
    <t>Vai līgumā jebkādā veidā ir paredzētas tiesības publiskajam partnerim saņemt visu vai daļu no finanšu ietaupījumiem, kas radušies privātajam partnerim efektīvas aktīva uzturēšanas rezultātā (faktiskās uzturēšanas izmaksas ir zemākas nekā iepriekš paredzēts līguma slēgšanas brīdī)?</t>
  </si>
  <si>
    <t>2. Pieejamības maksājumu mehānisms</t>
  </si>
  <si>
    <t>2.1.</t>
  </si>
  <si>
    <t>Atskaitījumi, ja objekts nav pieejams vai pakalpojums sniegts sliktā kvalitātē</t>
  </si>
  <si>
    <t>2.2.</t>
  </si>
  <si>
    <t>Pieejamības/ nepieejamības noteikšana</t>
  </si>
  <si>
    <t>Vai līgumā kā minimums ir noteikti nosacījumi, pie kuriem aktīvs ir uzskatāms par pieejamu/ izmantojamu?</t>
  </si>
  <si>
    <t>2.3.</t>
  </si>
  <si>
    <t xml:space="preserve">Atskaitījumi, ja objekts nav pieejams </t>
  </si>
  <si>
    <t>Vai samērīguma (proporcionalitātes) princips atskaitījumu apmēra noteikšanai tiek piemērots "nozīmīgā" (piemēram 1 gads) laika periodā?</t>
  </si>
  <si>
    <t>Atskaitījumu ierobežošana</t>
  </si>
  <si>
    <t xml:space="preserve">Vai līgumā ir paredzēti tādi atskaitījumumi apmēra ierobežojumi, kas apdraud proporcionalitātes principa ievērošanu? </t>
  </si>
  <si>
    <t>2.5.</t>
  </si>
  <si>
    <t>Uz pieprasījumu balstīti pieejamības maksājumi</t>
  </si>
  <si>
    <t>a) Vai uz pieprasījumu balstītu pieejamības maksājumu gadījumā, pieprasījuma apmērs ir sadalīts diapazonos? 
Ja "Jā", sniegt atbildi uz b) un c) jautajumiem.
Ja "Nē", pāriet uz 2.6. jautājumu.</t>
  </si>
  <si>
    <t>2.6.</t>
  </si>
  <si>
    <t>Minimālo ieņēmumu garantija</t>
  </si>
  <si>
    <t>Vai līgumā ir paredzēta jebkāda veida minimālās izmantošanas vai minimālā ienākumu garantija privātajam partnerim?</t>
  </si>
  <si>
    <t>3. Citi pieejamības maksājumu nosacījumi</t>
  </si>
  <si>
    <t>3.1.</t>
  </si>
  <si>
    <t>Pienākums sākt veikt pieejamības maksājumus</t>
  </si>
  <si>
    <t xml:space="preserve">3.2. </t>
  </si>
  <si>
    <t>3.3.</t>
  </si>
  <si>
    <t>Ieņēmumi no trešajām pusēm</t>
  </si>
  <si>
    <t>4. Kompensācija par pirmstermiņa līguma pārtraukšanu</t>
  </si>
  <si>
    <t>4.1.</t>
  </si>
  <si>
    <t>Privātā partnera maksātnespēja</t>
  </si>
  <si>
    <t>4.1.1.</t>
  </si>
  <si>
    <t>Vai nosacījumi, kas paredz kopmensācijas apmēra aprēķināšanu, pamatojoties uz aktīva bilances vērtību, paredz ņemt vērā publiskā partnera izdevumus, kas radušies privātā partnera nepietiekamas darbības rezultātā?</t>
  </si>
  <si>
    <t>5. Finansēšanas nosacījumi</t>
  </si>
  <si>
    <t xml:space="preserve">5.1. </t>
  </si>
  <si>
    <t>Publiskā partnera līdzdalība projekta finansēšanā</t>
  </si>
  <si>
    <t xml:space="preserve">b) Vai publiskā partnera finansējuma vai cita veida atbalsta apmērs ir vienāds vai lielāks par 50% no objekta būvniecības kapitāliem izdevumiem? </t>
  </si>
  <si>
    <t xml:space="preserve">c) Vai publiskā partnera finansējuma vai cita veida atbalsta apmērs ir mazāks par 50%, bet lielāks par vienu trešdaļu no objekta būvniecības kapitāliem izdevumiem? </t>
  </si>
  <si>
    <t xml:space="preserve">d) Vai publiskā partnera finansējuma vai cita veida atbalsta apmērs ir vienāds vai mazāks par vienu trešdaļu, bet lielāks par 10% no objekta būvniecības kapitāliem izdevumiem? </t>
  </si>
  <si>
    <t>e) Vai publiskā partnera finansējuma vai cita veida atbalsta apmērs ir vienāds vai mazāks par 10% no objekta būvniecības kapitāliem izdevumiem?</t>
  </si>
  <si>
    <t>5.2.</t>
  </si>
  <si>
    <t>Publiskā partnera (vai citu valsts iestāžu) atbalsts</t>
  </si>
  <si>
    <t>Vai līgums paredz jebkāda veida atbalstu privātajam partnerim, nodrošinot minimālos ieņēmumus vai minimālo objekta izmantošanas garantiju?</t>
  </si>
  <si>
    <t>5.3.</t>
  </si>
  <si>
    <t>Tiesības pieprasīt refinansēšanos</t>
  </si>
  <si>
    <t>Tiesības saņemt daļu no ietaupījuma</t>
  </si>
  <si>
    <t xml:space="preserve">Vai līgums paredz publiskā partnera tiesības saņemt daļu no refinansēšanās ietaupījuma? </t>
  </si>
  <si>
    <t>6. Publiskā partnera (vai citu valsts iestāžu) ietekme</t>
  </si>
  <si>
    <t xml:space="preserve">6.1. </t>
  </si>
  <si>
    <t>Tiesības uz privatā partnera peļņu</t>
  </si>
  <si>
    <t>Vai līgumā ir paredzētas tiesības publiskajam partnerim saņemt daļu no privātā partnera peļņas? 
Ja "Jā", sniegt atbildi uz b), c) d) un e) jautājumiem.
Ja "Nē", pāriet uz 6.2. jautājumu.</t>
  </si>
  <si>
    <t>a) Vai peļņas daļa, kuru tiesīgs saņemt publiskais partneris, ir vienāda vai lielāka par 50%?</t>
  </si>
  <si>
    <t>Peļņas augstākā sliekšņa noteikšana</t>
  </si>
  <si>
    <t xml:space="preserve">Vai līgums paredz jebkāda veida privātā partnera peļņas ierobežošanu? </t>
  </si>
  <si>
    <t>a) Vai līgumā ir noteiktas kvalitātes prasības, kuras privātajam partnerim ir jāievēro, sniedzot pakalpojumu vai uzturot aktīvu?
Ja "Jā", sniegt atbildi uz b) jautājumu.
Ja "Nē", pāriet pie 1.2. jautājuma.</t>
  </si>
  <si>
    <t>a) Līgums paredz, ka netiek maksāta kompensācija</t>
  </si>
  <si>
    <t>b) Līgumā nav atrunāta kompensācijas aprēķināšanas kārtība</t>
  </si>
  <si>
    <t>c) Līguma tirgus vērtība</t>
  </si>
  <si>
    <t>d) Aktīva bilances vērtība</t>
  </si>
  <si>
    <t>e) Prioritārā aizņemtā kapitāla kompensācija</t>
  </si>
  <si>
    <t>Vai atskaitījuma apmērs par aktīva nepieejamību vai sliktu sniegtā pakalpojuma kvalitāti ir objektīvi nosakāms, piemērojot līguma noteikumus, un atskaitāms bez turpmākām sarunām starp pusēm?</t>
  </si>
  <si>
    <r>
      <t xml:space="preserve">c) Vai zemākā lietošanas diapozona vienības cena ir noteikta tādā līmeni, kas </t>
    </r>
    <r>
      <rPr>
        <i/>
        <sz val="9"/>
        <rFont val="Times New Roman"/>
        <family val="1"/>
        <charset val="186"/>
      </rPr>
      <t>"de facto"</t>
    </r>
    <r>
      <rPr>
        <sz val="9"/>
        <rFont val="Times New Roman"/>
        <family val="1"/>
        <charset val="186"/>
      </rPr>
      <t xml:space="preserve"> ir līdzīga minimālajai izmantošanai /ieņēmumu garantijai (skatīt 2.6. jautājumu)?</t>
    </r>
  </si>
  <si>
    <t>Vai līgums paredz sākt veikt pieejamības maksājumus privātajam partnerim pirms būvniecības pabeigšanas (izņemot gadījumus, kad būvniecība un pieejamība sadalīta pa posmiem)?</t>
  </si>
  <si>
    <r>
      <t>a) Vai līgums paredz regulāru privātā partnera izmaksu un attiecīgi pieejamības maksājumu apmēra koriģēšanu, izmantojot salīdzinošo novērtēšanu (</t>
    </r>
    <r>
      <rPr>
        <i/>
        <sz val="9"/>
        <rFont val="Times New Roman"/>
        <family val="1"/>
        <charset val="186"/>
      </rPr>
      <t>benchmarking</t>
    </r>
    <r>
      <rPr>
        <sz val="9"/>
        <rFont val="Times New Roman"/>
        <family val="1"/>
        <charset val="186"/>
      </rPr>
      <t>) un tirgus izpēti?
Ja "Jā", sniegt atbildi uz b) jautājumu.
Ja "Nē", pāriet uz 3.3. jautājumu.</t>
    </r>
  </si>
  <si>
    <r>
      <t xml:space="preserve">b) Vai līgums paredz </t>
    </r>
    <r>
      <rPr>
        <u/>
        <sz val="9"/>
        <rFont val="Times New Roman"/>
        <family val="1"/>
        <charset val="186"/>
      </rPr>
      <t>tika</t>
    </r>
    <r>
      <rPr>
        <sz val="9"/>
        <rFont val="Times New Roman"/>
        <family val="1"/>
        <charset val="186"/>
      </rPr>
      <t>i tādu pieejamības maksājumu koriģēšanu, kas sedz privātā partnera izmaksas par sekundāro pakalojumu sniegšanu objekta uzturēšanai?</t>
    </r>
  </si>
  <si>
    <t>a) Vai maksājumu apmērs, ko publiskais partneris plāno saņemt no trešajām pusēm līguma periodā ir vienāds vai lielāks par 20%, bet nepārsniedz 50% no plānotajiem pieejamības maksājumiem privātajam partnerim?</t>
  </si>
  <si>
    <t>b) Vai maksājumu apmērs, ko publiskais partneris plāno saņemt no trešajām pusem līguma periodā ir vienāds vai lielāks par 5%, bet nepārsniedz 20% no plānotajiem pieejamības maksājumiem privātajam partnerim?</t>
  </si>
  <si>
    <r>
      <rPr>
        <i/>
        <vertAlign val="superscript"/>
        <sz val="9"/>
        <color theme="1"/>
        <rFont val="Times New Roman"/>
        <family val="1"/>
        <charset val="186"/>
      </rPr>
      <t xml:space="preserve">1) </t>
    </r>
    <r>
      <rPr>
        <i/>
        <sz val="9"/>
        <color theme="1"/>
        <rFont val="Times New Roman"/>
        <family val="1"/>
        <charset val="186"/>
      </rPr>
      <t xml:space="preserve">Papildu informāciju un kritērijus skat. https://www.eib.org/attachments/thematic/epec_eurostat_statistical_guide_en.pdf </t>
    </r>
  </si>
  <si>
    <r>
      <t xml:space="preserve">Atbilde
</t>
    </r>
    <r>
      <rPr>
        <b/>
        <sz val="9"/>
        <color rgb="FF0070C0"/>
        <rFont val="Times New Roman"/>
        <family val="1"/>
        <charset val="186"/>
      </rPr>
      <t>[varianti izvēlnē]</t>
    </r>
  </si>
  <si>
    <t>a) Vai ir paredzēta publiskā partnera līdzdalība finansējuma nodrošināšanā projekta realizācijai?
Ja "Jā", sniegt atbildi uz b), c), d) un e) jautājumiem.
Ja "Nē", pāriet uz 5.2. jautājumu.</t>
  </si>
  <si>
    <t>b) Vai peļņas daļa, kuru tiesīgs saņemt publiskais partneris, ir mazāka par 50%, bet lielāka par vienu trešdaļu?</t>
  </si>
  <si>
    <t>c) Vai peļņas daļa, kuru tiesīgs saņemt publiskais partneris, ir mazāka par vienu trešdaļu, bet lielāka par 20%?</t>
  </si>
  <si>
    <t>d) Vai peļņas daļa, kuru tiesīgs saņemt publiskais partneris, ir vienāda vai mazāka par 20%, bet lielāka par 10%?</t>
  </si>
  <si>
    <t>a) Vai līgumā ir paredzēts pienākums privātajam partnerim uzturēt naudas rezerves fondu, kas paredzēts aktīva nākotnes uzturēšanas izmaksu segšanai?
Ja "Jā", sniegt atbildi uz b)  jautājumu.
Ja "Nē", pāriet pie 1.3. jautājuma.</t>
  </si>
  <si>
    <t>b) Vai visaugstākās lietošanas diapozona vienības cena ir noteikta 0 (nulle) vai tuvu tai?</t>
  </si>
  <si>
    <t>Vai līgums paredz publiskā partnera tiesības pieprasīt, lai privātais partneris refinansē aizdevumu?</t>
  </si>
  <si>
    <t>6.2.</t>
  </si>
  <si>
    <t>Salīdzinošā novērtēšana un tirgus izpēte</t>
  </si>
  <si>
    <t>Neattiecas</t>
  </si>
  <si>
    <t>Citi kritēriji</t>
  </si>
  <si>
    <t>Risku analīze</t>
  </si>
  <si>
    <t>Risku kvantificēšana</t>
  </si>
  <si>
    <t>Risks</t>
  </si>
  <si>
    <t>Kapitāliefuldījumu fāze</t>
  </si>
  <si>
    <t>Risks 1:</t>
  </si>
  <si>
    <t>Risks 2:</t>
  </si>
  <si>
    <t>Risks 3:</t>
  </si>
  <si>
    <t>Risks 4:</t>
  </si>
  <si>
    <t>…</t>
  </si>
  <si>
    <t>Projekta īstenošanas fāze</t>
  </si>
  <si>
    <t>Riska kategorija</t>
  </si>
  <si>
    <t>Riska bāze, EUR</t>
  </si>
  <si>
    <t>Riska ietekme, %</t>
  </si>
  <si>
    <t>Riska iestāšanās varbūtība, %</t>
  </si>
  <si>
    <t>Riska līmenis, %</t>
  </si>
  <si>
    <t>Pārdale publiskajam partnerim, %</t>
  </si>
  <si>
    <t>Pārdale privātajam partnerim, %</t>
  </si>
  <si>
    <t>Privātā partnera riska izmaksas, EUR</t>
  </si>
  <si>
    <t>Publiskā partnera riska izmaksas, EUR</t>
  </si>
  <si>
    <t>BR</t>
  </si>
  <si>
    <t>PI</t>
  </si>
  <si>
    <t>PR</t>
  </si>
  <si>
    <t>PPP PARTNERĪBAS LĪGUMS</t>
  </si>
  <si>
    <t>PPP KONCESIJAS LĪGUMS</t>
  </si>
  <si>
    <t>PPP INSTITUCIONĀLĀ PARTNERĪBA</t>
  </si>
  <si>
    <t>Risku analīzes kopsavilkums</t>
  </si>
  <si>
    <t>Būvniecības riska izmaksas</t>
  </si>
  <si>
    <t>Pieejamības riska izmaksas</t>
  </si>
  <si>
    <t>Pieprasījuma riska izmaksas</t>
  </si>
  <si>
    <t>Riska bāze
(izmaksu pozīcija)</t>
  </si>
  <si>
    <t>Privātais partneris, EUR</t>
  </si>
  <si>
    <t>Publiskais partneris, EUR</t>
  </si>
  <si>
    <t>Publiskā partnera risku daļa, %</t>
  </si>
  <si>
    <t>Ieguldījumam atbilstošās vērtības un paredzamās līgumcenas noteikšana</t>
  </si>
  <si>
    <t>EUR</t>
  </si>
  <si>
    <t>Publiskā partnera NPV</t>
  </si>
  <si>
    <t>Publiskā partnera risku izmaksu NPV</t>
  </si>
  <si>
    <t>Publiskā partnera kopējās naudas plūsmas NPV</t>
  </si>
  <si>
    <t>Partnerības modelis</t>
  </si>
  <si>
    <t>Koncesijas modelis</t>
  </si>
  <si>
    <t>Institucionālais modelis</t>
  </si>
  <si>
    <t>N/A</t>
  </si>
  <si>
    <t>Modelis</t>
  </si>
  <si>
    <t>Paredzamā līgumcena</t>
  </si>
  <si>
    <t>Valūta</t>
  </si>
  <si>
    <t>Inflācija:</t>
  </si>
  <si>
    <t>Publiskā partnera naudas plūsma</t>
  </si>
  <si>
    <t>Kapitālieguldījumu izmaksas</t>
  </si>
  <si>
    <t>Projekta īstenošanas izmaksas</t>
  </si>
  <si>
    <t>Mainīgās izmaksas</t>
  </si>
  <si>
    <t>Fiksētās izmaksas</t>
  </si>
  <si>
    <t>Projekta ieņēmumi</t>
  </si>
  <si>
    <t>Ieņēmumi 1</t>
  </si>
  <si>
    <t>Ieņēmumi 2</t>
  </si>
  <si>
    <t>Ieņēmumi 3</t>
  </si>
  <si>
    <t>Publiskā partnera naudas plūsmas IRR</t>
  </si>
  <si>
    <t>Nominālais diskonta faktors</t>
  </si>
  <si>
    <t>Diskontētā naudas plūsma</t>
  </si>
  <si>
    <t>Ievades šūnas zīme</t>
  </si>
  <si>
    <t>-</t>
  </si>
  <si>
    <t>+</t>
  </si>
  <si>
    <t>Publiskā partnera naudas plūsmas NPV</t>
  </si>
  <si>
    <t>Publiskā partnera kopējā naudas plūsma</t>
  </si>
  <si>
    <t>Publiskā partnera risku izmaksas</t>
  </si>
  <si>
    <t>Diskontētās publiskā partnera riska izmaksas</t>
  </si>
  <si>
    <t>Publiskā partnera riska izmaksu NPV</t>
  </si>
  <si>
    <t>Projekta īstenošanas gads</t>
  </si>
  <si>
    <t>GADS (kalendārais)</t>
  </si>
  <si>
    <t>IRR funkcija</t>
  </si>
  <si>
    <t>Diskontētā kopējā naudas plūsma</t>
  </si>
  <si>
    <t>Privātā partnera naudas plūsma</t>
  </si>
  <si>
    <t>Privātā partnera naudas plūsmas IRR</t>
  </si>
  <si>
    <t>Ieņēmumi no publiskā partnera maksājumiem</t>
  </si>
  <si>
    <t>Publiskā partnera maksājumi privātajam partnerim</t>
  </si>
  <si>
    <t>Privātā partnera naudas plūsmas NPV</t>
  </si>
  <si>
    <t>Kapitālieguldījumu izmaksas 1</t>
  </si>
  <si>
    <t>Kapitālieguldījumu izmaksas 2</t>
  </si>
  <si>
    <t>Kapitālieguldījumu izmaksas 3</t>
  </si>
  <si>
    <t>Mainīgās īstenošanas izmaksas 1</t>
  </si>
  <si>
    <t>Mainīgās īstenošanas izmaksas 2</t>
  </si>
  <si>
    <t>Mainīgās īstenošanas izmaksas 3</t>
  </si>
  <si>
    <t>Fiksētās īstenošanas izmaksas 1</t>
  </si>
  <si>
    <t>Fiksētās īstenošanas izmaksas 2</t>
  </si>
  <si>
    <t>Fiksētās īstenošanas izmaksas 3</t>
  </si>
  <si>
    <t>Riska bāzes (izmaksu pozīciju) nolaižamās izvēlnes</t>
  </si>
  <si>
    <t>NPV_PPP_partnerība</t>
  </si>
  <si>
    <t>NPV_PPP_koncesija</t>
  </si>
  <si>
    <t>NPV_PPP_institucionālā</t>
  </si>
  <si>
    <t>Pārskatīt sarakstu pēc NPV darba lapu aizpildīšanas, koriģējot / dzēšot / papildinot izmaksu / ieņēmumu pozīcijas un atstāt sarakstā tikai tās pozīcijas, kas tālāk tiek izmantotas kā riska bāzes!</t>
  </si>
  <si>
    <t>KOPĀ</t>
  </si>
  <si>
    <t>Privātā partnera maksājumi publiskajam partnerim</t>
  </si>
  <si>
    <t>Reālā diskonta likme</t>
  </si>
  <si>
    <t>Diskontētās izmaksas</t>
  </si>
  <si>
    <t>Privātā partnera (kopsabiedrības) naudas plūsma</t>
  </si>
  <si>
    <t>Privātā partnera kopējā naudas plūsma</t>
  </si>
  <si>
    <t>Privātā partnera kopējās naudas plūsmas NPV</t>
  </si>
  <si>
    <t>Privātā partnera kopējās naudas plūsmas IRR</t>
  </si>
  <si>
    <t>Projekta tiešās izmaksas</t>
  </si>
  <si>
    <t>Tiešās izmaksas 1</t>
  </si>
  <si>
    <t>Tiešās izmaksas 2</t>
  </si>
  <si>
    <t>Tiešās izmaksas 3</t>
  </si>
  <si>
    <t>Projekta netiešās izmaksas</t>
  </si>
  <si>
    <t>Netiešās izmaksas 1</t>
  </si>
  <si>
    <t>Netiešās izmaksas 2</t>
  </si>
  <si>
    <t>Netiešās izmaksas 3</t>
  </si>
  <si>
    <t>Privātā partnera (kopsabiedrības) peļņas sadalījums</t>
  </si>
  <si>
    <t>Privātā dalībnieka peļņas daļa</t>
  </si>
  <si>
    <t>Publiskā partnera peļņas daļa</t>
  </si>
  <si>
    <t>%</t>
  </si>
  <si>
    <t>Privātā dalībnieka naudas plūsma</t>
  </si>
  <si>
    <t>Privātā dalībnieka maksājumi publiskajam partnerim</t>
  </si>
  <si>
    <t>Privātā dalībnieka naudas plūsmas IRR</t>
  </si>
  <si>
    <t>Publiskā partnera maksājumi privātajam dalībniekam</t>
  </si>
  <si>
    <t>Privātā dalībnieka naudas plūsmas NPV</t>
  </si>
  <si>
    <t>riski</t>
  </si>
  <si>
    <t>Partnerības iepirkuma modelis</t>
  </si>
  <si>
    <t>Institucionālās partnerības modelis</t>
  </si>
  <si>
    <t>Pieņēmumi</t>
  </si>
  <si>
    <t>Avots:</t>
  </si>
  <si>
    <t>Inflācija</t>
  </si>
  <si>
    <t>MAKROEKONOMISKIE PIEŅĒMUMI</t>
  </si>
  <si>
    <t>PIEŅĒMUMI PROJEKTA IEŅĒMUMU PROGNOZEI</t>
  </si>
  <si>
    <t>PIEŅĒMUMI PROJEKTA IZMAKSU PROGNOZEI</t>
  </si>
  <si>
    <t>Mērvienība</t>
  </si>
  <si>
    <t>Jutīguma analīze</t>
  </si>
  <si>
    <t>Svārstības</t>
  </si>
  <si>
    <t>… svārstība</t>
  </si>
  <si>
    <t>Parametrs</t>
  </si>
  <si>
    <t>Svārstība, %</t>
  </si>
  <si>
    <t>... svārstība</t>
  </si>
  <si>
    <t>v. 1</t>
  </si>
  <si>
    <t>Bāzes modelis I</t>
  </si>
  <si>
    <t>Bāzes modelis II</t>
  </si>
  <si>
    <t>BĀZES MODELIS I</t>
  </si>
  <si>
    <t>BĀZES MODELIS II</t>
  </si>
  <si>
    <t>Privātā dalībnieka peļņas daļa, %</t>
  </si>
  <si>
    <t>Publiskā partnera peļņas daļa, %</t>
  </si>
  <si>
    <t>Risks 1: Kapitālieguldījumi netiek veikti paredzētajā termiņā</t>
  </si>
  <si>
    <t>Riska bāze</t>
  </si>
  <si>
    <t>Publiskā partnera riska izmaksu koeficienti</t>
  </si>
  <si>
    <t>Risks 2: Pieaug kapitālieguldījumu izmaksas</t>
  </si>
  <si>
    <t>NPV_Bāze_I</t>
  </si>
  <si>
    <t>NPV_Bāze_II</t>
  </si>
  <si>
    <t>Teritorijas labiekārtošana</t>
  </si>
  <si>
    <t>Personāla izmaksas</t>
  </si>
  <si>
    <t>Uzturēšanas izmaksas</t>
  </si>
  <si>
    <t>Ieņēmumi no klientiem</t>
  </si>
  <si>
    <t>Pašvaldības līdzmaksājums</t>
  </si>
  <si>
    <t>Risks 3: Netiek saņemtas nepieciešamās atļaujas darbības uzsākšanai</t>
  </si>
  <si>
    <t>Risks 2: Nepietiekams darbaspēks</t>
  </si>
  <si>
    <t>Risks 3: Samazinās klientu maksātspēja</t>
  </si>
  <si>
    <t xml:space="preserve">Risks 4: </t>
  </si>
  <si>
    <r>
      <t xml:space="preserve">Koeficients
</t>
    </r>
    <r>
      <rPr>
        <sz val="8"/>
        <color theme="1"/>
        <rFont val="Times New Roman"/>
        <family val="1"/>
      </rPr>
      <t>(riska līm.* pārdale publ. partn.)</t>
    </r>
  </si>
  <si>
    <t>Risks 1: Nepietiekams klientu skaits</t>
  </si>
  <si>
    <t>Ieguldījumam atbilstošā vērtība – Bāze I</t>
  </si>
  <si>
    <t>Ieguldījumam atbilstošā vērtība – Bāze II</t>
  </si>
  <si>
    <t>https://www.fm.gov.lv/sites/fm/files/finansu20un20ekonomisko20aprekinu20veiksanai20nepieciesamo20makroekonomisko20pienemumu20un20prognozu20skaitliskas20vertibas1.pdf</t>
  </si>
  <si>
    <t>Patēriņa cenu izmaiņas (procentos)</t>
  </si>
  <si>
    <t>vid. 2024–2043</t>
  </si>
  <si>
    <t>vid. 2020–2023</t>
  </si>
  <si>
    <t>Gada vidējais iedzīvotāju skaits</t>
  </si>
  <si>
    <t>A novads</t>
  </si>
  <si>
    <t>A pilsēta</t>
  </si>
  <si>
    <t>B novads</t>
  </si>
  <si>
    <t>B pilsēta</t>
  </si>
  <si>
    <t>C novads</t>
  </si>
  <si>
    <t>C pilsēta</t>
  </si>
  <si>
    <t>http://data1.csb.gov.lv/pxweb/lv/iedz/iedz__iedzskaits__ikgad/ISG020.px</t>
  </si>
  <si>
    <t>Pieagums/samazinājums</t>
  </si>
  <si>
    <t>Vidēji</t>
  </si>
  <si>
    <t xml:space="preserve">Saskaņā ar CSP datiem (https://www.csb.gov.lv/sites/default/files/press_release/2020-03/65%2B_ipatsvars_virs_30__2019_0.png) projekta īstenošanas reģionā senioru (iedzīvotāju &gt;65g.) nepārsneidz 30%, tādēļ aprēķinos pieņemts īpatsvars 15%. </t>
  </si>
  <si>
    <t>CSP, LM dati</t>
  </si>
  <si>
    <t>Plānotais klientu skaits</t>
  </si>
  <si>
    <t>Vidējā vecuma pensija</t>
  </si>
  <si>
    <t>sk.</t>
  </si>
  <si>
    <t>https://data.csb.gov.lv/pxweb/lv/sociala/sociala__socdr__pensijas__isterm/SD010c.px</t>
  </si>
  <si>
    <t>Ikmēneša izmaksāto vecuma pensiju vidējais apmērs (euro)</t>
  </si>
  <si>
    <t>Prognoze</t>
  </si>
  <si>
    <t>Iemaksas daļa sociālai mājai (75%)</t>
  </si>
  <si>
    <t>Pašvaldību līdzmaksājums</t>
  </si>
  <si>
    <t>IEŅĒMUMI</t>
  </si>
  <si>
    <t>Pārējos ieņēmumus, lai nosegtu izmaksas, plānots saņemt kā projektā iesaistīto pašvaldību līdzmaksājumus.</t>
  </si>
  <si>
    <t>IZMAKSAS</t>
  </si>
  <si>
    <t>Viena no projektā iesaistītajām pašvaldībām nodod lietošanā tai piederošu būvi, kurai nepieciešama renovācija un papildu piebūves atbilstoši šādām aplēsēm</t>
  </si>
  <si>
    <t>Renovācijas izmaksas, EUR, kopā</t>
  </si>
  <si>
    <t>Renovējamā platība, m^2</t>
  </si>
  <si>
    <t>Izmaksas, EUR/m^2</t>
  </si>
  <si>
    <t>ieguldījumi tiek veikti vienā gadā</t>
  </si>
  <si>
    <t>izmaksas tiek sadalītas uz diviem gadiem (80% / 20%)</t>
  </si>
  <si>
    <t>Projekta īstenotāju aplēses</t>
  </si>
  <si>
    <t>Pamatlīdzekļu iegāde, EUR</t>
  </si>
  <si>
    <t>Pamatlīdzekļi</t>
  </si>
  <si>
    <t>1. Būvniecības izmaksas:</t>
  </si>
  <si>
    <t>1.1. Pamatēkas renovācija</t>
  </si>
  <si>
    <t>1.2. Papildēku būvniecība</t>
  </si>
  <si>
    <t>1.3. Teritorijas labiekārtošana</t>
  </si>
  <si>
    <t>2. Pamatlīdzekļu iegāde</t>
  </si>
  <si>
    <t>Papildēku izmaksas, EUR, kopā</t>
  </si>
  <si>
    <t>Papildu ēkas, m^2</t>
  </si>
  <si>
    <t>Nolietojums</t>
  </si>
  <si>
    <t>Papildēkas</t>
  </si>
  <si>
    <t>Pamatēka + teritorija</t>
  </si>
  <si>
    <t>Lietd. liet. laiks, gadi</t>
  </si>
  <si>
    <t>1. Aktīvu nolietojums</t>
  </si>
  <si>
    <t>1.1. Ēkas</t>
  </si>
  <si>
    <t>1.2. Pamatlīdzekļi</t>
  </si>
  <si>
    <t>Atjaunošana izmaksas</t>
  </si>
  <si>
    <t>6. gadā, 15%</t>
  </si>
  <si>
    <t>no 2027.g. + atjaunošanas izmaksu nolietojums</t>
  </si>
  <si>
    <t>Darbinieku skaits</t>
  </si>
  <si>
    <t>pilnas slodzes ekvivalenti</t>
  </si>
  <si>
    <t>Vidējā darba samaksa, EUR</t>
  </si>
  <si>
    <t>izlīdzināts, ņemot vērā dažādu līmeņu, kvalifikācijas un noslodzes personālu</t>
  </si>
  <si>
    <t>Darba samaksas pieaugums, %/gadā</t>
  </si>
  <si>
    <t>Klientu ēdināšana, EUR/dienā</t>
  </si>
  <si>
    <t>Klientu ēdināšana, EUR/gadā</t>
  </si>
  <si>
    <t>indeksēts katru gadu atbilstoši inflācijai</t>
  </si>
  <si>
    <t>Ēku uzturēšana un remonti</t>
  </si>
  <si>
    <t>no kopējiem kapitālieguldījumiem; indeksēts katru gadu</t>
  </si>
  <si>
    <t>2. Ēku uzturēšana un remonti</t>
  </si>
  <si>
    <t>1. Personāla izmaksas</t>
  </si>
  <si>
    <t>2. Ēdināšana</t>
  </si>
  <si>
    <t>IZMAKSAS KOPĀ</t>
  </si>
  <si>
    <t>Ieņēmumi no klientiem (80%)</t>
  </si>
  <si>
    <t>Pašvaldības līdzfinnansējums (20%)</t>
  </si>
  <si>
    <t>Pamatdarbības ieņēmumi</t>
  </si>
  <si>
    <t>ALTERNATĪVU SKAIDROJUMS</t>
  </si>
  <si>
    <t>NVP_Bāze_I</t>
  </si>
  <si>
    <t>Kā bāzes alternatīva tiek vērtēts modelis, kurā pašvaldība pati turpina nodrošināt šī pakalpojuma sniegšanu, veicot nepieciešamos kapitālieguldījumus un sedzot pamatdarbības izmaksas. Otra bāzes alternatīva, kur ieguldījumu veikšanai un pakalpojuma sniegšanai tiek piesaistīts privātais partneris, netiek izskatīta sociālās aprūpes specifikas dēļ.</t>
  </si>
  <si>
    <t>Visus riskus uzņemas publiskais partneris.</t>
  </si>
  <si>
    <t>Paredzamā līgumcena tiek noteikta atbilstoši katra gada izmaksu un ieņēmumu starpībai.</t>
  </si>
  <si>
    <t>Partnerības modelī publiskais partneris uz visu projekta periodu (10 gadi) atlasa privāto partneri, kas veic nepieciešamos ieguldījumus un nodrošina pakalpojuma sniegšanu atbilstoši PPP līgumā noteiktajam.</t>
  </si>
  <si>
    <t>Riski tiek dalīti starp publisko un privāto partneri.</t>
  </si>
  <si>
    <t>Paredzamā līgumcena tiek noteikta kā izlīdzināts pieejamības maksājums, no kopējām izmaksām gūtos ieņēmumus.</t>
  </si>
  <si>
    <t>Institucionālās partnerības modelis netiek aplūkots, jo nelielie kapitālieguldījumi un pakalpojuma specifika, kur atbilstības un kvalitātes kontroles nodrošina attiecīgi dienesti, nenosaka nepieciešamību veidot kopsabiedrību.</t>
  </si>
  <si>
    <t>b) Vai publiskajam partnerim līgumā ir paredzētas tiesības vērst sankcijas pret privāto partneri, ja kvalitātes prasības netiek ievērotas?</t>
  </si>
  <si>
    <t>Kāda metode līgumā ir paredzēta kompensācijas apmēra noteikšani, kas izmaksājama privātajam partnerim, pirmstermiņa līguma pārtraukšanas gadījumā, ko izraisījusi privātā partnera maksātnespējas iestāšanās?
Ja "a) Līgums paredz, ka netiek maksāta kompensācija", tad nav ietekmes uz statistisko uzskaiti
Ja "b) Līgumā nav atrunāta kompensācijas aprēķināšanas kārtība", tad nepieciešama atsevišķa analīze, lai noteiktu statistisko nozīmi.
Ja "c) Līguma tirgus vērtība", tad nepieciešama atsevišķa analīze, lai noteiktu statistisko nozīmi
Ja "d) Aktīva bilances vērtība" sniegt atbildes uz 4.1.1. jautājumu.
Ja "e) Prioritārā aizņemtā kapitāla kompensācija", tad nepieciešama atsevišķa analīze, lai noteiktu statistisko uzskaiti</t>
  </si>
  <si>
    <t>PIEŅĒMUMI PPP partnerības modelim</t>
  </si>
  <si>
    <t>Aktīvu atlikusī vērtība</t>
  </si>
  <si>
    <t>Pieejamības maksājums tiek maksāts, sākot ar projekta 2. gadu – pēc tam, kad ekspluatācijā ir nodoti izveidotie aktīvi.</t>
  </si>
  <si>
    <t>Pēdējā gadā pieejamības maksājums tiek palielināts par izveidot aktīvu atlikušo vērtību, kurus privātais partneris nodot atpakaļ privātajam partnerim.</t>
  </si>
  <si>
    <t>Atlikušās vērtības aprēķins</t>
  </si>
  <si>
    <t>Ieguldījumi</t>
  </si>
  <si>
    <t>Aprēķinātais nolietojums</t>
  </si>
  <si>
    <t>Atlikusī vertība</t>
  </si>
  <si>
    <t>Samaksa, 2031</t>
  </si>
  <si>
    <t>Klientu skaita svārstība</t>
  </si>
  <si>
    <t>Līgumcena</t>
  </si>
  <si>
    <t>Inflācijas svārstība</t>
  </si>
  <si>
    <t>Piemērs: Trīs novadu apvienotais sociālās aprūpes centrs</t>
  </si>
  <si>
    <t>Būvniecības izmaksu svārstība</t>
  </si>
  <si>
    <t>Atruna: piemērā izmantotie pieņēmumi un aprēķini nav faktos balstīti, bet tiek izmantoti, lai uzskatāmi demonstrētu FEA veidlapas aizpildīšanas principus</t>
  </si>
  <si>
    <t xml:space="preserve">Koncesijas modelis netiek aplūkots, jo ieņēmumi no klientiem un pašvaldības par pakalpojuma sniegšanu sedz tikai apt. 12% no visām projekta izmaksām, savukārt maksimālais patērētāju skaits ir ierobežots. Privātajam partnerim nav iespējams nodot būtiskāko pieprasījuma un pieejamības risku daļu, jo pieprasījumu jeb klientu skaitu ietekmē vairāki būtiski, no privātā partnera neatkarīgi faktori, piem., senioru skaits konkrētajā darbības teritorijā, to materiālais un sociālais stāvoklis, pašvadlības sociālo dienestu darbība u.c. Tāpat, lai nodrošinātu gala lietotājiem pieejamu sociālo pakalpojumu par samērīgu cenu, nav iespējams būtiski palielināt pakalpojuma cenu, lai lielāku ieņēmumu daļu gūtu tieši no gala lietotājiem. </t>
  </si>
  <si>
    <r>
      <t>Indikatīvā statistiskās uzskaites</t>
    </r>
    <r>
      <rPr>
        <b/>
        <i/>
        <vertAlign val="superscript"/>
        <sz val="11"/>
        <color theme="1"/>
        <rFont val="Times New Roman"/>
        <family val="1"/>
        <charset val="186"/>
      </rPr>
      <t>1)</t>
    </r>
    <r>
      <rPr>
        <b/>
        <i/>
        <sz val="11"/>
        <color theme="1"/>
        <rFont val="Times New Roman"/>
        <family val="1"/>
        <charset val="186"/>
      </rPr>
      <t xml:space="preserve"> pārbaudes lapa – ar tās palīdzību var tikt veikts indikatīvs novērtējums. Pirms Excel aizpildīšanas nepieciešams iepazīties ar EPEC un Eurostat izstrādātajām vadlīnijām. Līguma projekta tālākā izstrādē būs jāņem vērā vadlīnijās noteiktie nosacījumi, un tam var būt būtiska materiāla ietekme uz projekta izmaksām, tādēļ svarīgi ir savlaicīgi detalizēti iepazīties ar vadlīnījās atrunātajiem nosacījumiem.</t>
    </r>
  </si>
  <si>
    <t>0. Vispārīgi</t>
  </si>
  <si>
    <t>Vai projekts kvalificējas privātai un publiskai partnerībai atbilstoši Eurostat un EPEC izstrādātajām vadlīnijām?</t>
  </si>
  <si>
    <t>4.2.</t>
  </si>
  <si>
    <r>
      <t xml:space="preserve">Vai līgums paredz skaidri definētus, ierobežotu skaitu </t>
    </r>
    <r>
      <rPr>
        <i/>
        <sz val="9"/>
        <rFont val="Times New Roman"/>
        <family val="1"/>
      </rPr>
      <t>force majeur</t>
    </r>
    <r>
      <rPr>
        <sz val="9"/>
        <rFont val="Times New Roman"/>
        <family val="1"/>
      </rPr>
      <t xml:space="preserve"> un atvieglojumu gadījumus, kurus nav iespējams paredzēt un kas ir ārpus privātā partnera kontroles, un neietver vispārējās sociālekonomiskās norises?</t>
    </r>
  </si>
  <si>
    <t>Attaisnojošie iemesli</t>
  </si>
  <si>
    <t>5.4.</t>
  </si>
  <si>
    <t>5.5.</t>
  </si>
  <si>
    <t>Procentu likmju izmaiņas</t>
  </si>
  <si>
    <t>Vai pieejamības maksājumi mainīsies atkarībā no procentu likmju izmaiņām?</t>
  </si>
  <si>
    <t>6.3.</t>
  </si>
  <si>
    <t>Pār privāto partneri īstenotā kontrole</t>
  </si>
  <si>
    <t>Vai vispārējās valdības sektors tieši vai netieši kontrolē privāto partneri, mērķsabiedrību vai kopsabiedrību?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</si>
</sst>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49" x14ac:knownFonts="1">
    <font>
      <sz val="11"/>
      <color theme="1"/>
      <name val="Calibri"/>
      <family val="2"/>
      <charset val="186"/>
      <scheme val="minor"/>
    </font>
    <font>
      <sz val="11"/>
      <color theme="1"/>
      <name val="Times New Roman"/>
      <family val="1"/>
      <charset val="186"/>
    </font>
    <font>
      <sz val="9"/>
      <color theme="1"/>
      <name val="Times New Roman"/>
      <family val="1"/>
      <charset val="186"/>
    </font>
    <font>
      <b/>
      <sz val="12"/>
      <color theme="1"/>
      <name val="Times New Roman"/>
      <family val="1"/>
      <charset val="186"/>
    </font>
    <font>
      <b/>
      <sz val="16"/>
      <color rgb="FF0070C0"/>
      <name val="Times New Roman"/>
      <family val="1"/>
      <charset val="186"/>
    </font>
    <font>
      <b/>
      <sz val="9"/>
      <color theme="1"/>
      <name val="Times New Roman"/>
      <family val="1"/>
      <charset val="186"/>
    </font>
    <font>
      <b/>
      <sz val="9"/>
      <color rgb="FF0070C0"/>
      <name val="Times New Roman"/>
      <family val="1"/>
      <charset val="186"/>
    </font>
    <font>
      <sz val="9"/>
      <color rgb="FF0070C0"/>
      <name val="Times New Roman"/>
      <family val="1"/>
      <charset val="186"/>
    </font>
    <font>
      <sz val="11"/>
      <color theme="1"/>
      <name val="Calibri"/>
      <family val="2"/>
      <charset val="186"/>
      <scheme val="minor"/>
    </font>
    <font>
      <sz val="10"/>
      <name val="Arial"/>
      <family val="2"/>
    </font>
    <font>
      <sz val="8"/>
      <color rgb="FF9C6500"/>
      <name val="Arial"/>
      <family val="2"/>
    </font>
    <font>
      <sz val="9"/>
      <color indexed="81"/>
      <name val="Tahoma"/>
      <family val="2"/>
      <charset val="186"/>
    </font>
    <font>
      <b/>
      <sz val="11"/>
      <color theme="1"/>
      <name val="Times New Roman"/>
      <family val="1"/>
      <charset val="186"/>
    </font>
    <font>
      <b/>
      <i/>
      <sz val="11"/>
      <color theme="1"/>
      <name val="Times New Roman"/>
      <family val="1"/>
      <charset val="186"/>
    </font>
    <font>
      <sz val="9"/>
      <name val="Times New Roman"/>
      <family val="1"/>
      <charset val="186"/>
    </font>
    <font>
      <i/>
      <sz val="9"/>
      <name val="Times New Roman"/>
      <family val="1"/>
      <charset val="186"/>
    </font>
    <font>
      <u/>
      <sz val="9"/>
      <name val="Times New Roman"/>
      <family val="1"/>
      <charset val="186"/>
    </font>
    <font>
      <i/>
      <sz val="9"/>
      <color theme="1"/>
      <name val="Times New Roman"/>
      <family val="1"/>
      <charset val="186"/>
    </font>
    <font>
      <i/>
      <vertAlign val="superscript"/>
      <sz val="9"/>
      <color theme="1"/>
      <name val="Times New Roman"/>
      <family val="1"/>
      <charset val="186"/>
    </font>
    <font>
      <b/>
      <i/>
      <vertAlign val="superscript"/>
      <sz val="11"/>
      <color theme="1"/>
      <name val="Times New Roman"/>
      <family val="1"/>
      <charset val="186"/>
    </font>
    <font>
      <sz val="9"/>
      <color theme="0"/>
      <name val="Times New Roman"/>
      <family val="1"/>
      <charset val="186"/>
    </font>
    <font>
      <sz val="11"/>
      <color theme="0"/>
      <name val="Times New Roman"/>
      <family val="1"/>
      <charset val="186"/>
    </font>
    <font>
      <sz val="11"/>
      <name val="Times New Roman"/>
      <family val="1"/>
      <charset val="186"/>
    </font>
    <font>
      <b/>
      <i/>
      <sz val="9"/>
      <color theme="1"/>
      <name val="Times New Roman"/>
      <family val="1"/>
      <charset val="186"/>
    </font>
    <font>
      <b/>
      <sz val="9"/>
      <color indexed="81"/>
      <name val="Tahoma"/>
      <family val="2"/>
      <charset val="186"/>
    </font>
    <font>
      <b/>
      <sz val="10"/>
      <color theme="1"/>
      <name val="Times New Roman"/>
      <family val="1"/>
      <charset val="186"/>
    </font>
    <font>
      <sz val="8"/>
      <color theme="1"/>
      <name val="Times New Roman"/>
      <family val="1"/>
      <charset val="186"/>
    </font>
    <font>
      <i/>
      <sz val="8"/>
      <color theme="1"/>
      <name val="Times New Roman"/>
      <family val="1"/>
      <charset val="186"/>
    </font>
    <font>
      <i/>
      <sz val="9"/>
      <color rgb="FF0070C0"/>
      <name val="Times New Roman"/>
      <family val="1"/>
      <charset val="186"/>
    </font>
    <font>
      <b/>
      <sz val="2"/>
      <color theme="1"/>
      <name val="Times New Roman"/>
      <family val="1"/>
      <charset val="186"/>
    </font>
    <font>
      <sz val="2"/>
      <color theme="1"/>
      <name val="Times New Roman"/>
      <family val="1"/>
      <charset val="186"/>
    </font>
    <font>
      <b/>
      <sz val="9"/>
      <name val="Times New Roman"/>
      <family val="1"/>
      <charset val="186"/>
    </font>
    <font>
      <b/>
      <i/>
      <sz val="8"/>
      <color theme="1"/>
      <name val="Times New Roman"/>
      <family val="1"/>
      <charset val="186"/>
    </font>
    <font>
      <i/>
      <sz val="2"/>
      <color rgb="FF0070C0"/>
      <name val="Times New Roman"/>
      <family val="1"/>
      <charset val="186"/>
    </font>
    <font>
      <b/>
      <u/>
      <sz val="9"/>
      <color rgb="FF0070C0"/>
      <name val="Times New Roman"/>
      <family val="1"/>
      <charset val="186"/>
    </font>
    <font>
      <b/>
      <sz val="9"/>
      <color theme="0"/>
      <name val="Times New Roman"/>
      <family val="1"/>
      <charset val="186"/>
    </font>
    <font>
      <b/>
      <sz val="9"/>
      <color theme="1"/>
      <name val="Times New Roman"/>
      <family val="1"/>
    </font>
    <font>
      <sz val="9"/>
      <color theme="1"/>
      <name val="Times New Roman"/>
      <family val="1"/>
    </font>
    <font>
      <sz val="8"/>
      <color theme="1"/>
      <name val="Times New Roman"/>
      <family val="1"/>
    </font>
    <font>
      <b/>
      <sz val="9"/>
      <color indexed="81"/>
      <name val="Tahoma"/>
      <family val="2"/>
    </font>
    <font>
      <sz val="9"/>
      <color indexed="81"/>
      <name val="Tahoma"/>
      <family val="2"/>
    </font>
    <font>
      <b/>
      <sz val="9"/>
      <color rgb="FF0070C0"/>
      <name val="Times New Roman"/>
      <family val="1"/>
    </font>
    <font>
      <b/>
      <i/>
      <sz val="8"/>
      <color rgb="FF0070C0"/>
      <name val="Times New Roman"/>
      <family val="1"/>
    </font>
    <font>
      <b/>
      <i/>
      <sz val="9"/>
      <color theme="1"/>
      <name val="Times New Roman"/>
      <family val="1"/>
    </font>
    <font>
      <i/>
      <sz val="9"/>
      <color theme="1"/>
      <name val="Times New Roman"/>
      <family val="1"/>
    </font>
    <font>
      <sz val="9"/>
      <color rgb="FF0070C0"/>
      <name val="Times New Roman"/>
      <family val="1"/>
    </font>
    <font>
      <b/>
      <i/>
      <sz val="9"/>
      <color rgb="FF0070C0"/>
      <name val="Times New Roman"/>
      <family val="1"/>
    </font>
    <font>
      <i/>
      <sz val="9"/>
      <name val="Times New Roman"/>
      <family val="1"/>
    </font>
    <font>
      <sz val="9"/>
      <name val="Times New Roman"/>
      <family val="1"/>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EB9C"/>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9" fontId="8" fillId="0" borderId="0" applyFont="0" applyFill="0" applyBorder="0" applyAlignment="0" applyProtection="0"/>
    <xf numFmtId="0" fontId="9" fillId="0" borderId="0"/>
    <xf numFmtId="0" fontId="10" fillId="5" borderId="0" applyNumberFormat="0" applyBorder="0" applyAlignment="0" applyProtection="0"/>
  </cellStyleXfs>
  <cellXfs count="304">
    <xf numFmtId="0" fontId="0" fillId="0" borderId="0" xfId="0"/>
    <xf numFmtId="0" fontId="2" fillId="2" borderId="0" xfId="0" applyFont="1" applyFill="1"/>
    <xf numFmtId="0" fontId="2" fillId="0" borderId="0" xfId="0" applyFont="1"/>
    <xf numFmtId="0" fontId="2" fillId="2" borderId="0" xfId="0" applyFont="1" applyFill="1" applyAlignment="1">
      <alignment horizontal="center"/>
    </xf>
    <xf numFmtId="0" fontId="5" fillId="2" borderId="0" xfId="0" applyFont="1" applyFill="1"/>
    <xf numFmtId="0" fontId="6" fillId="2" borderId="0" xfId="0" applyFont="1" applyFill="1" applyAlignment="1">
      <alignment horizontal="center"/>
    </xf>
    <xf numFmtId="0" fontId="2" fillId="2" borderId="0" xfId="0" applyFont="1" applyFill="1" applyAlignment="1">
      <alignment horizontal="right"/>
    </xf>
    <xf numFmtId="0" fontId="2" fillId="3" borderId="1" xfId="0" applyFont="1" applyFill="1" applyBorder="1"/>
    <xf numFmtId="0" fontId="2" fillId="4" borderId="1" xfId="0" applyFont="1" applyFill="1" applyBorder="1"/>
    <xf numFmtId="0" fontId="5" fillId="7" borderId="1" xfId="0" applyFont="1" applyFill="1" applyBorder="1" applyAlignment="1">
      <alignment horizontal="center" vertical="center" wrapText="1"/>
    </xf>
    <xf numFmtId="0" fontId="14" fillId="4" borderId="1" xfId="2" applyFont="1" applyFill="1" applyBorder="1" applyAlignment="1" applyProtection="1">
      <alignment horizontal="center" vertical="center"/>
    </xf>
    <xf numFmtId="10" fontId="6" fillId="3" borderId="1" xfId="3" applyNumberFormat="1" applyFont="1" applyFill="1" applyBorder="1" applyAlignment="1" applyProtection="1">
      <alignment horizontal="center" vertical="center"/>
      <protection locked="0"/>
    </xf>
    <xf numFmtId="10" fontId="6" fillId="3" borderId="1" xfId="3" applyNumberFormat="1" applyFont="1" applyFill="1" applyBorder="1" applyAlignment="1" applyProtection="1">
      <alignment horizontal="center" vertical="center" wrapText="1"/>
      <protection locked="0"/>
    </xf>
    <xf numFmtId="0" fontId="1" fillId="2" borderId="0" xfId="0" applyFont="1" applyFill="1" applyProtection="1">
      <protection locked="0"/>
    </xf>
    <xf numFmtId="0" fontId="1" fillId="0" borderId="0" xfId="0" applyFont="1" applyProtection="1">
      <protection locked="0"/>
    </xf>
    <xf numFmtId="0" fontId="5" fillId="7" borderId="1" xfId="0" applyFont="1" applyFill="1" applyBorder="1" applyAlignment="1" applyProtection="1">
      <alignment horizontal="left" vertical="center"/>
      <protection locked="0"/>
    </xf>
    <xf numFmtId="0" fontId="5" fillId="7"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14" fillId="0" borderId="1" xfId="2" applyFont="1" applyBorder="1" applyAlignment="1" applyProtection="1">
      <alignment horizontal="left" vertical="center" wrapText="1"/>
      <protection locked="0"/>
    </xf>
    <xf numFmtId="0" fontId="14" fillId="4" borderId="1" xfId="2" applyFont="1" applyFill="1" applyBorder="1" applyAlignment="1" applyProtection="1">
      <alignment horizontal="center" vertical="center"/>
      <protection locked="0"/>
    </xf>
    <xf numFmtId="0" fontId="14" fillId="0" borderId="1" xfId="0" applyFont="1" applyBorder="1" applyAlignment="1" applyProtection="1">
      <alignment horizontal="left" vertical="center"/>
      <protection locked="0"/>
    </xf>
    <xf numFmtId="0" fontId="14" fillId="0" borderId="1" xfId="2" applyFont="1" applyBorder="1" applyAlignment="1" applyProtection="1">
      <alignment horizontal="left" vertical="center" wrapText="1" shrinkToFit="1"/>
      <protection locked="0"/>
    </xf>
    <xf numFmtId="0" fontId="2" fillId="0" borderId="1" xfId="0" applyFont="1" applyBorder="1" applyProtection="1">
      <protection locked="0"/>
    </xf>
    <xf numFmtId="0" fontId="1" fillId="0" borderId="0" xfId="0" applyFont="1" applyProtection="1"/>
    <xf numFmtId="0" fontId="2" fillId="4" borderId="1" xfId="0" applyFont="1" applyFill="1" applyBorder="1" applyProtection="1"/>
    <xf numFmtId="0" fontId="15" fillId="0" borderId="1" xfId="2" applyFont="1" applyBorder="1" applyAlignment="1" applyProtection="1">
      <alignment horizontal="left" vertical="center" wrapText="1" shrinkToFit="1"/>
      <protection locked="0"/>
    </xf>
    <xf numFmtId="0" fontId="20" fillId="0" borderId="0" xfId="0" applyFont="1" applyProtection="1"/>
    <xf numFmtId="0" fontId="20" fillId="0" borderId="0" xfId="0" applyFont="1" applyFill="1" applyProtection="1"/>
    <xf numFmtId="0" fontId="1" fillId="0" borderId="0" xfId="0" applyFont="1" applyFill="1" applyProtection="1">
      <protection locked="0"/>
    </xf>
    <xf numFmtId="0" fontId="22" fillId="0" borderId="0" xfId="0" applyFont="1" applyFill="1" applyAlignment="1" applyProtection="1">
      <alignment wrapText="1"/>
      <protection locked="0"/>
    </xf>
    <xf numFmtId="0" fontId="22" fillId="0" borderId="0" xfId="0" applyFont="1" applyAlignment="1" applyProtection="1">
      <alignment wrapText="1"/>
      <protection locked="0"/>
    </xf>
    <xf numFmtId="0" fontId="20" fillId="0" borderId="0" xfId="0" applyFont="1" applyAlignment="1" applyProtection="1">
      <alignment wrapText="1"/>
    </xf>
    <xf numFmtId="0" fontId="20" fillId="0" borderId="0" xfId="0" applyFont="1" applyFill="1" applyAlignment="1" applyProtection="1">
      <alignment wrapText="1"/>
    </xf>
    <xf numFmtId="0" fontId="21" fillId="0" borderId="0" xfId="0" applyFont="1" applyAlignment="1" applyProtection="1">
      <alignment wrapText="1"/>
    </xf>
    <xf numFmtId="0" fontId="7" fillId="3" borderId="1" xfId="0" applyFont="1" applyFill="1" applyBorder="1" applyAlignment="1">
      <alignment horizontal="left" vertical="top" wrapText="1"/>
    </xf>
    <xf numFmtId="0" fontId="23" fillId="8" borderId="2" xfId="0" applyFont="1" applyFill="1" applyBorder="1" applyAlignment="1">
      <alignment vertical="top" wrapText="1"/>
    </xf>
    <xf numFmtId="0" fontId="23" fillId="8" borderId="3" xfId="0" applyFont="1" applyFill="1" applyBorder="1" applyAlignment="1">
      <alignment vertical="top" wrapText="1"/>
    </xf>
    <xf numFmtId="0" fontId="23" fillId="8" borderId="4" xfId="0" applyFont="1" applyFill="1" applyBorder="1" applyAlignment="1">
      <alignment vertical="top" wrapText="1"/>
    </xf>
    <xf numFmtId="1" fontId="2" fillId="4" borderId="6" xfId="0" applyNumberFormat="1" applyFont="1" applyFill="1" applyBorder="1"/>
    <xf numFmtId="10" fontId="2" fillId="4" borderId="6" xfId="1" applyNumberFormat="1" applyFont="1" applyFill="1" applyBorder="1" applyAlignment="1">
      <alignment horizontal="right"/>
    </xf>
    <xf numFmtId="0" fontId="2" fillId="2" borderId="0" xfId="0" applyFont="1" applyFill="1" applyAlignment="1">
      <alignment wrapText="1"/>
    </xf>
    <xf numFmtId="0" fontId="2" fillId="2" borderId="0" xfId="0" applyFont="1" applyFill="1" applyAlignment="1">
      <alignment horizontal="center" vertical="center"/>
    </xf>
    <xf numFmtId="0" fontId="5" fillId="2" borderId="9" xfId="0" applyFont="1" applyFill="1" applyBorder="1" applyAlignment="1">
      <alignment horizontal="left" vertical="center"/>
    </xf>
    <xf numFmtId="0" fontId="5" fillId="2" borderId="7" xfId="0" applyFont="1" applyFill="1" applyBorder="1" applyAlignment="1">
      <alignment horizontal="center" vertical="center" wrapText="1"/>
    </xf>
    <xf numFmtId="0" fontId="5" fillId="2" borderId="7" xfId="0" applyFont="1" applyFill="1" applyBorder="1" applyAlignment="1">
      <alignment horizontal="center" vertical="center"/>
    </xf>
    <xf numFmtId="0" fontId="2" fillId="2" borderId="0" xfId="0" applyFont="1" applyFill="1" applyAlignment="1">
      <alignment horizontal="right" vertical="top"/>
    </xf>
    <xf numFmtId="0" fontId="2" fillId="2" borderId="0" xfId="0" applyFont="1" applyFill="1" applyAlignment="1">
      <alignment horizontal="right" wrapText="1"/>
    </xf>
    <xf numFmtId="0" fontId="5" fillId="2" borderId="0" xfId="0" applyFont="1" applyFill="1" applyAlignment="1">
      <alignment wrapText="1"/>
    </xf>
    <xf numFmtId="0" fontId="26" fillId="2" borderId="0" xfId="0" applyFont="1" applyFill="1" applyAlignment="1">
      <alignment horizontal="center" vertical="top"/>
    </xf>
    <xf numFmtId="0" fontId="26" fillId="2" borderId="0" xfId="0" applyFont="1" applyFill="1" applyAlignment="1">
      <alignment horizontal="center" vertical="center"/>
    </xf>
    <xf numFmtId="3" fontId="2" fillId="2" borderId="0" xfId="0" applyNumberFormat="1" applyFont="1" applyFill="1" applyAlignment="1">
      <alignment horizontal="right" vertical="top"/>
    </xf>
    <xf numFmtId="0" fontId="13" fillId="6" borderId="0" xfId="0" applyFont="1" applyFill="1"/>
    <xf numFmtId="0" fontId="5" fillId="2" borderId="1" xfId="0" applyFont="1" applyFill="1" applyBorder="1" applyAlignment="1">
      <alignment horizontal="right" wrapText="1"/>
    </xf>
    <xf numFmtId="0" fontId="2" fillId="2" borderId="1" xfId="0" applyFont="1" applyFill="1" applyBorder="1" applyAlignment="1">
      <alignment wrapText="1"/>
    </xf>
    <xf numFmtId="0" fontId="2" fillId="2" borderId="1" xfId="0" applyFont="1" applyFill="1" applyBorder="1" applyAlignment="1">
      <alignment horizontal="right" wrapText="1"/>
    </xf>
    <xf numFmtId="3" fontId="2" fillId="4" borderId="1" xfId="0" applyNumberFormat="1" applyFont="1" applyFill="1" applyBorder="1" applyAlignment="1">
      <alignment horizontal="right" vertical="top"/>
    </xf>
    <xf numFmtId="0" fontId="17" fillId="2" borderId="1" xfId="0" applyFont="1" applyFill="1" applyBorder="1" applyAlignment="1">
      <alignment horizontal="right" wrapText="1"/>
    </xf>
    <xf numFmtId="0" fontId="17" fillId="2" borderId="0" xfId="0" applyFont="1" applyFill="1" applyAlignment="1">
      <alignment horizontal="right" vertical="top"/>
    </xf>
    <xf numFmtId="0" fontId="27" fillId="2" borderId="0" xfId="0" applyFont="1" applyFill="1" applyAlignment="1">
      <alignment horizontal="center" vertical="top"/>
    </xf>
    <xf numFmtId="0" fontId="5" fillId="2" borderId="1" xfId="0" applyFont="1" applyFill="1" applyBorder="1"/>
    <xf numFmtId="3" fontId="5" fillId="4" borderId="1" xfId="0" applyNumberFormat="1" applyFont="1" applyFill="1" applyBorder="1" applyAlignment="1">
      <alignment horizontal="right" vertical="top"/>
    </xf>
    <xf numFmtId="0" fontId="6" fillId="3" borderId="1" xfId="0" applyFont="1" applyFill="1" applyBorder="1" applyAlignment="1">
      <alignment horizontal="right" vertical="top"/>
    </xf>
    <xf numFmtId="0" fontId="5" fillId="6" borderId="1" xfId="0" applyFont="1" applyFill="1" applyBorder="1" applyAlignment="1">
      <alignment wrapText="1"/>
    </xf>
    <xf numFmtId="0" fontId="2" fillId="4" borderId="1" xfId="0" applyFont="1" applyFill="1" applyBorder="1" applyAlignment="1">
      <alignment horizontal="right"/>
    </xf>
    <xf numFmtId="0" fontId="6" fillId="3" borderId="1" xfId="0" applyFont="1" applyFill="1" applyBorder="1" applyAlignment="1">
      <alignment horizontal="center" vertical="top"/>
    </xf>
    <xf numFmtId="164" fontId="7" fillId="3" borderId="1" xfId="1" applyNumberFormat="1" applyFont="1" applyFill="1" applyBorder="1" applyAlignment="1">
      <alignment horizontal="right" vertical="top"/>
    </xf>
    <xf numFmtId="0" fontId="7" fillId="3" borderId="1" xfId="0" applyFont="1" applyFill="1" applyBorder="1" applyAlignment="1">
      <alignment horizontal="center" vertical="top"/>
    </xf>
    <xf numFmtId="0" fontId="7" fillId="3" borderId="1" xfId="0" applyFont="1" applyFill="1" applyBorder="1" applyAlignment="1">
      <alignment horizontal="right" vertical="top"/>
    </xf>
    <xf numFmtId="164" fontId="7" fillId="3" borderId="1" xfId="1" applyNumberFormat="1" applyFont="1" applyFill="1" applyBorder="1" applyAlignment="1">
      <alignment horizontal="center" vertical="top"/>
    </xf>
    <xf numFmtId="164" fontId="14" fillId="4" borderId="1" xfId="1" applyNumberFormat="1" applyFont="1" applyFill="1" applyBorder="1" applyAlignment="1">
      <alignment horizontal="right" vertical="top"/>
    </xf>
    <xf numFmtId="3" fontId="5" fillId="2" borderId="0" xfId="0" applyNumberFormat="1" applyFont="1" applyFill="1" applyBorder="1" applyAlignment="1">
      <alignment horizontal="right" vertical="top"/>
    </xf>
    <xf numFmtId="0" fontId="6" fillId="6" borderId="1" xfId="0" applyFont="1" applyFill="1" applyBorder="1" applyAlignment="1">
      <alignment wrapText="1"/>
    </xf>
    <xf numFmtId="3" fontId="28" fillId="3" borderId="1" xfId="0" applyNumberFormat="1" applyFont="1" applyFill="1" applyBorder="1" applyAlignment="1">
      <alignment horizontal="right" vertical="top"/>
    </xf>
    <xf numFmtId="0" fontId="29" fillId="2" borderId="0" xfId="0" applyFont="1" applyFill="1" applyBorder="1" applyAlignment="1">
      <alignment horizontal="right" wrapText="1"/>
    </xf>
    <xf numFmtId="0" fontId="30" fillId="2" borderId="0" xfId="0" applyFont="1" applyFill="1" applyAlignment="1">
      <alignment horizontal="right" vertical="top"/>
    </xf>
    <xf numFmtId="3" fontId="29" fillId="0" borderId="0" xfId="0" applyNumberFormat="1" applyFont="1" applyFill="1" applyBorder="1" applyAlignment="1">
      <alignment horizontal="right" vertical="top"/>
    </xf>
    <xf numFmtId="0" fontId="30" fillId="2" borderId="0" xfId="0" applyFont="1" applyFill="1"/>
    <xf numFmtId="3" fontId="29" fillId="2" borderId="0" xfId="0" applyNumberFormat="1" applyFont="1" applyFill="1" applyBorder="1" applyAlignment="1">
      <alignment horizontal="right" vertical="top"/>
    </xf>
    <xf numFmtId="0" fontId="5" fillId="9" borderId="0" xfId="0" applyFont="1" applyFill="1" applyBorder="1" applyAlignment="1">
      <alignment horizontal="right" wrapText="1"/>
    </xf>
    <xf numFmtId="0" fontId="2" fillId="9" borderId="0" xfId="0" applyFont="1" applyFill="1" applyAlignment="1">
      <alignment horizontal="right" vertical="top"/>
    </xf>
    <xf numFmtId="3" fontId="5" fillId="9" borderId="0" xfId="0" applyNumberFormat="1" applyFont="1" applyFill="1" applyBorder="1" applyAlignment="1">
      <alignment horizontal="right" vertical="top"/>
    </xf>
    <xf numFmtId="165" fontId="17" fillId="4" borderId="1" xfId="0" applyNumberFormat="1" applyFont="1" applyFill="1" applyBorder="1" applyAlignment="1">
      <alignment horizontal="right" vertical="top"/>
    </xf>
    <xf numFmtId="3" fontId="17" fillId="4" borderId="1" xfId="0" applyNumberFormat="1" applyFont="1" applyFill="1" applyBorder="1" applyAlignment="1">
      <alignment horizontal="right" vertical="top"/>
    </xf>
    <xf numFmtId="0" fontId="28" fillId="3" borderId="1" xfId="0" applyFont="1" applyFill="1" applyBorder="1" applyAlignment="1">
      <alignment horizontal="right" wrapText="1"/>
    </xf>
    <xf numFmtId="0" fontId="23" fillId="2" borderId="1" xfId="0" applyFont="1" applyFill="1" applyBorder="1" applyAlignment="1">
      <alignment wrapText="1"/>
    </xf>
    <xf numFmtId="3" fontId="2" fillId="0" borderId="0" xfId="0" applyNumberFormat="1" applyFont="1" applyFill="1" applyBorder="1" applyAlignment="1">
      <alignment horizontal="right" vertical="top"/>
    </xf>
    <xf numFmtId="3" fontId="30" fillId="2" borderId="0" xfId="0" applyNumberFormat="1" applyFont="1" applyFill="1" applyAlignment="1">
      <alignment horizontal="right" vertical="top"/>
    </xf>
    <xf numFmtId="0" fontId="15" fillId="3" borderId="1" xfId="0" applyFont="1" applyFill="1" applyBorder="1" applyAlignment="1">
      <alignment horizontal="right" wrapText="1"/>
    </xf>
    <xf numFmtId="3" fontId="14" fillId="4" borderId="1" xfId="0" applyNumberFormat="1" applyFont="1" applyFill="1" applyBorder="1" applyAlignment="1">
      <alignment horizontal="right" vertical="top"/>
    </xf>
    <xf numFmtId="3" fontId="6" fillId="3" borderId="1" xfId="0" applyNumberFormat="1" applyFont="1" applyFill="1" applyBorder="1" applyAlignment="1">
      <alignment horizontal="right" vertical="top"/>
    </xf>
    <xf numFmtId="3" fontId="15" fillId="4" borderId="1" xfId="0" applyNumberFormat="1" applyFont="1" applyFill="1" applyBorder="1" applyAlignment="1">
      <alignment horizontal="right" vertical="top"/>
    </xf>
    <xf numFmtId="0" fontId="28" fillId="2" borderId="0" xfId="0" applyFont="1" applyFill="1" applyAlignment="1">
      <alignment horizontal="right" wrapText="1"/>
    </xf>
    <xf numFmtId="3" fontId="28" fillId="2" borderId="0" xfId="0" applyNumberFormat="1" applyFont="1" applyFill="1" applyAlignment="1">
      <alignment horizontal="right" vertical="top"/>
    </xf>
    <xf numFmtId="3" fontId="7" fillId="3" borderId="1" xfId="0" applyNumberFormat="1" applyFont="1" applyFill="1" applyBorder="1" applyAlignment="1">
      <alignment horizontal="right" vertical="top"/>
    </xf>
    <xf numFmtId="0" fontId="31" fillId="6" borderId="1" xfId="0" applyFont="1" applyFill="1" applyBorder="1" applyAlignment="1">
      <alignment wrapText="1"/>
    </xf>
    <xf numFmtId="3" fontId="2" fillId="2" borderId="0" xfId="0" applyNumberFormat="1" applyFont="1" applyFill="1" applyBorder="1" applyAlignment="1">
      <alignment horizontal="right" vertical="top"/>
    </xf>
    <xf numFmtId="0" fontId="17" fillId="2" borderId="0" xfId="0" applyFont="1" applyFill="1" applyBorder="1" applyAlignment="1">
      <alignment horizontal="right" wrapText="1"/>
    </xf>
    <xf numFmtId="0" fontId="5" fillId="2" borderId="1" xfId="0" applyFont="1" applyFill="1" applyBorder="1" applyAlignment="1">
      <alignment horizontal="right"/>
    </xf>
    <xf numFmtId="3" fontId="14" fillId="2" borderId="0" xfId="0" applyNumberFormat="1" applyFont="1" applyFill="1" applyBorder="1" applyAlignment="1">
      <alignment horizontal="right" vertical="top"/>
    </xf>
    <xf numFmtId="0" fontId="17" fillId="0" borderId="1" xfId="0" applyFont="1" applyFill="1" applyBorder="1" applyAlignment="1">
      <alignment horizontal="right" wrapText="1"/>
    </xf>
    <xf numFmtId="3" fontId="2" fillId="0" borderId="1" xfId="0" applyNumberFormat="1" applyFont="1" applyFill="1" applyBorder="1" applyAlignment="1">
      <alignment horizontal="right" vertical="top"/>
    </xf>
    <xf numFmtId="0" fontId="6" fillId="6" borderId="1" xfId="0" applyFont="1" applyFill="1" applyBorder="1" applyAlignment="1">
      <alignment horizontal="left" wrapText="1"/>
    </xf>
    <xf numFmtId="0" fontId="27" fillId="2" borderId="0" xfId="0" applyFont="1" applyFill="1" applyAlignment="1">
      <alignment horizontal="center" vertical="center"/>
    </xf>
    <xf numFmtId="0" fontId="30" fillId="2" borderId="0" xfId="0" applyFont="1" applyFill="1" applyAlignment="1">
      <alignment horizontal="center" vertical="center"/>
    </xf>
    <xf numFmtId="0" fontId="32" fillId="6" borderId="0" xfId="0" applyFont="1" applyFill="1" applyAlignment="1">
      <alignment horizontal="center" vertical="center"/>
    </xf>
    <xf numFmtId="0" fontId="26" fillId="9" borderId="0" xfId="0" applyFont="1" applyFill="1" applyAlignment="1">
      <alignment horizontal="center" vertical="center"/>
    </xf>
    <xf numFmtId="0" fontId="2" fillId="9" borderId="0" xfId="0" applyFont="1" applyFill="1" applyAlignment="1">
      <alignment wrapText="1"/>
    </xf>
    <xf numFmtId="0" fontId="5" fillId="6" borderId="1" xfId="0" applyFont="1" applyFill="1" applyBorder="1"/>
    <xf numFmtId="3" fontId="14" fillId="4" borderId="1" xfId="0" applyNumberFormat="1" applyFont="1" applyFill="1" applyBorder="1"/>
    <xf numFmtId="0" fontId="5" fillId="2" borderId="0" xfId="0" applyFont="1" applyFill="1" applyBorder="1" applyAlignment="1">
      <alignment wrapText="1"/>
    </xf>
    <xf numFmtId="0" fontId="2" fillId="2" borderId="0" xfId="0" applyFont="1" applyFill="1" applyBorder="1" applyAlignment="1">
      <alignment horizontal="right" vertical="top"/>
    </xf>
    <xf numFmtId="0" fontId="26" fillId="2" borderId="0" xfId="0" applyFont="1" applyFill="1" applyBorder="1" applyAlignment="1">
      <alignment horizontal="center" vertical="center"/>
    </xf>
    <xf numFmtId="0" fontId="2" fillId="2" borderId="0" xfId="0" applyFont="1" applyFill="1" applyBorder="1"/>
    <xf numFmtId="10" fontId="28" fillId="3" borderId="1" xfId="1" applyNumberFormat="1" applyFont="1" applyFill="1" applyBorder="1" applyAlignment="1">
      <alignment horizontal="right" vertical="top"/>
    </xf>
    <xf numFmtId="3" fontId="2" fillId="2" borderId="0" xfId="0" applyNumberFormat="1" applyFont="1" applyFill="1"/>
    <xf numFmtId="0" fontId="30" fillId="2" borderId="0" xfId="0" applyFont="1" applyFill="1" applyAlignment="1">
      <alignment wrapText="1"/>
    </xf>
    <xf numFmtId="0" fontId="33" fillId="2" borderId="0" xfId="0" applyFont="1" applyFill="1" applyAlignment="1">
      <alignment horizontal="right" wrapText="1"/>
    </xf>
    <xf numFmtId="3" fontId="33" fillId="2" borderId="0" xfId="0" applyNumberFormat="1" applyFont="1" applyFill="1" applyAlignment="1">
      <alignment horizontal="right" vertical="top"/>
    </xf>
    <xf numFmtId="0" fontId="5" fillId="7" borderId="1" xfId="0" applyFont="1" applyFill="1" applyBorder="1" applyAlignment="1">
      <alignment horizontal="left" vertical="center" wrapText="1"/>
    </xf>
    <xf numFmtId="3" fontId="2" fillId="4" borderId="6" xfId="0" applyNumberFormat="1" applyFont="1" applyFill="1" applyBorder="1" applyAlignment="1">
      <alignment horizontal="right"/>
    </xf>
    <xf numFmtId="3" fontId="2" fillId="4" borderId="6" xfId="0" applyNumberFormat="1" applyFont="1" applyFill="1" applyBorder="1"/>
    <xf numFmtId="0" fontId="6" fillId="3" borderId="1" xfId="0" applyFont="1" applyFill="1" applyBorder="1"/>
    <xf numFmtId="0" fontId="5" fillId="2" borderId="10" xfId="0" applyFont="1" applyFill="1" applyBorder="1" applyAlignment="1">
      <alignment horizontal="left" vertical="center"/>
    </xf>
    <xf numFmtId="0" fontId="7" fillId="3" borderId="1" xfId="0" applyFont="1" applyFill="1" applyBorder="1" applyAlignment="1">
      <alignment horizontal="center" vertical="center" wrapText="1"/>
    </xf>
    <xf numFmtId="0" fontId="23" fillId="8" borderId="3" xfId="0" applyFont="1" applyFill="1" applyBorder="1" applyAlignment="1">
      <alignment horizontal="center" vertical="center" wrapText="1"/>
    </xf>
    <xf numFmtId="3" fontId="7" fillId="3" borderId="1" xfId="0" applyNumberFormat="1" applyFont="1" applyFill="1" applyBorder="1" applyAlignment="1">
      <alignment horizontal="right" vertical="top" wrapText="1"/>
    </xf>
    <xf numFmtId="10" fontId="7" fillId="3" borderId="1" xfId="1" applyNumberFormat="1" applyFont="1" applyFill="1" applyBorder="1" applyAlignment="1">
      <alignment horizontal="right" vertical="top"/>
    </xf>
    <xf numFmtId="10" fontId="2" fillId="4" borderId="1" xfId="1" applyNumberFormat="1" applyFont="1" applyFill="1" applyBorder="1" applyAlignment="1">
      <alignment horizontal="right" vertical="top"/>
    </xf>
    <xf numFmtId="0" fontId="23" fillId="8" borderId="3" xfId="0" applyFont="1" applyFill="1" applyBorder="1" applyAlignment="1">
      <alignment horizontal="right" vertical="top" wrapText="1"/>
    </xf>
    <xf numFmtId="0" fontId="23" fillId="8" borderId="4" xfId="0" applyFont="1" applyFill="1" applyBorder="1" applyAlignment="1">
      <alignment horizontal="right" vertical="top" wrapText="1"/>
    </xf>
    <xf numFmtId="0" fontId="7" fillId="3" borderId="1" xfId="0" applyFont="1" applyFill="1" applyBorder="1" applyAlignment="1">
      <alignment horizontal="right" vertical="top" wrapText="1"/>
    </xf>
    <xf numFmtId="0" fontId="28" fillId="2" borderId="1" xfId="0" applyFont="1" applyFill="1" applyBorder="1" applyAlignment="1">
      <alignment horizontal="right" wrapText="1"/>
    </xf>
    <xf numFmtId="0" fontId="6" fillId="3" borderId="1" xfId="0" applyFont="1" applyFill="1" applyBorder="1" applyAlignment="1">
      <alignment horizontal="center" vertical="center"/>
    </xf>
    <xf numFmtId="0" fontId="5" fillId="6" borderId="0" xfId="0" applyFont="1" applyFill="1"/>
    <xf numFmtId="0" fontId="2" fillId="6" borderId="0" xfId="0" applyFont="1" applyFill="1"/>
    <xf numFmtId="0" fontId="23" fillId="2" borderId="0" xfId="0" applyFont="1" applyFill="1"/>
    <xf numFmtId="0" fontId="5" fillId="2" borderId="0" xfId="0" applyFont="1" applyFill="1" applyAlignment="1">
      <alignment horizontal="center" vertical="center"/>
    </xf>
    <xf numFmtId="0" fontId="2" fillId="2" borderId="0" xfId="0" applyFont="1" applyFill="1" applyAlignment="1">
      <alignment horizontal="left" vertical="top" wrapText="1"/>
    </xf>
    <xf numFmtId="0" fontId="20" fillId="2" borderId="9" xfId="0" applyFont="1" applyFill="1" applyBorder="1" applyAlignment="1">
      <alignment horizontal="center"/>
    </xf>
    <xf numFmtId="0" fontId="23" fillId="2" borderId="0" xfId="0" applyFont="1" applyFill="1" applyBorder="1" applyAlignment="1">
      <alignment horizontal="left"/>
    </xf>
    <xf numFmtId="0" fontId="2" fillId="2" borderId="0" xfId="0" applyFont="1" applyFill="1" applyBorder="1" applyAlignment="1">
      <alignment horizontal="center"/>
    </xf>
    <xf numFmtId="1" fontId="2" fillId="2" borderId="0" xfId="0" applyNumberFormat="1" applyFont="1" applyFill="1" applyBorder="1"/>
    <xf numFmtId="10" fontId="2" fillId="2" borderId="0" xfId="1" applyNumberFormat="1" applyFont="1" applyFill="1" applyBorder="1" applyAlignment="1">
      <alignment horizontal="right"/>
    </xf>
    <xf numFmtId="0" fontId="2" fillId="0" borderId="0" xfId="0" applyFont="1" applyFill="1"/>
    <xf numFmtId="0" fontId="5" fillId="0" borderId="0" xfId="0" applyFont="1" applyFill="1" applyAlignment="1">
      <alignment horizontal="center" vertical="center"/>
    </xf>
    <xf numFmtId="0" fontId="2" fillId="0" borderId="0" xfId="0" applyFont="1" applyFill="1" applyBorder="1"/>
    <xf numFmtId="0" fontId="21" fillId="0" borderId="0" xfId="0" applyFont="1" applyProtection="1">
      <protection locked="0"/>
    </xf>
    <xf numFmtId="0" fontId="21" fillId="0" borderId="0" xfId="0" applyFont="1" applyAlignment="1" applyProtection="1">
      <alignment wrapText="1"/>
      <protection locked="0"/>
    </xf>
    <xf numFmtId="0" fontId="2" fillId="3" borderId="0" xfId="0" applyFont="1" applyFill="1" applyAlignment="1">
      <alignment horizontal="center" vertical="center"/>
    </xf>
    <xf numFmtId="0" fontId="2" fillId="6" borderId="0" xfId="0" applyFont="1" applyFill="1" applyAlignment="1">
      <alignment horizontal="center" vertical="center"/>
    </xf>
    <xf numFmtId="3" fontId="2" fillId="3" borderId="0" xfId="0" applyNumberFormat="1" applyFont="1" applyFill="1"/>
    <xf numFmtId="3" fontId="7" fillId="3" borderId="1" xfId="0" applyNumberFormat="1" applyFont="1" applyFill="1" applyBorder="1"/>
    <xf numFmtId="3" fontId="2" fillId="4" borderId="1" xfId="0" applyNumberFormat="1" applyFont="1" applyFill="1" applyBorder="1"/>
    <xf numFmtId="9" fontId="5" fillId="2" borderId="0" xfId="0" applyNumberFormat="1" applyFont="1" applyFill="1"/>
    <xf numFmtId="0" fontId="5" fillId="2" borderId="0" xfId="0" applyFont="1" applyFill="1" applyAlignment="1">
      <alignment horizontal="center"/>
    </xf>
    <xf numFmtId="3" fontId="5" fillId="3" borderId="1" xfId="0" applyNumberFormat="1" applyFont="1" applyFill="1" applyBorder="1" applyAlignment="1">
      <alignment horizontal="right" vertical="top" wrapText="1"/>
    </xf>
    <xf numFmtId="0" fontId="2" fillId="2" borderId="1" xfId="0" applyFont="1" applyFill="1" applyBorder="1" applyAlignment="1">
      <alignment horizontal="left" vertical="top" wrapText="1"/>
    </xf>
    <xf numFmtId="9" fontId="5" fillId="3" borderId="0" xfId="0" applyNumberFormat="1" applyFont="1" applyFill="1" applyAlignment="1">
      <alignment horizontal="center"/>
    </xf>
    <xf numFmtId="0" fontId="5" fillId="3" borderId="1" xfId="0" applyFont="1" applyFill="1" applyBorder="1" applyAlignment="1">
      <alignment horizontal="center"/>
    </xf>
    <xf numFmtId="9" fontId="2" fillId="3" borderId="1" xfId="1" applyFont="1" applyFill="1" applyBorder="1" applyAlignment="1">
      <alignment horizontal="right" vertical="top" wrapText="1" indent="2"/>
    </xf>
    <xf numFmtId="3" fontId="2" fillId="6" borderId="1" xfId="0" applyNumberFormat="1" applyFont="1" applyFill="1" applyBorder="1" applyAlignment="1">
      <alignment horizontal="right" vertical="top" wrapText="1"/>
    </xf>
    <xf numFmtId="164" fontId="2" fillId="2" borderId="0" xfId="1" applyNumberFormat="1" applyFont="1" applyFill="1"/>
    <xf numFmtId="164" fontId="5" fillId="4" borderId="1" xfId="1" applyNumberFormat="1" applyFont="1" applyFill="1" applyBorder="1" applyAlignment="1">
      <alignment horizontal="center" vertical="top" wrapText="1"/>
    </xf>
    <xf numFmtId="0" fontId="20" fillId="2" borderId="0" xfId="0" applyFont="1" applyFill="1"/>
    <xf numFmtId="0" fontId="23" fillId="2" borderId="0" xfId="0" applyFont="1" applyFill="1" applyBorder="1" applyAlignment="1">
      <alignment horizontal="left"/>
    </xf>
    <xf numFmtId="0" fontId="13" fillId="2" borderId="0" xfId="0" applyFont="1" applyFill="1" applyAlignment="1">
      <alignment horizontal="center" vertical="center"/>
    </xf>
    <xf numFmtId="0" fontId="5" fillId="2" borderId="0" xfId="0" applyFont="1" applyFill="1" applyBorder="1" applyAlignment="1">
      <alignment horizontal="center"/>
    </xf>
    <xf numFmtId="3" fontId="5" fillId="2" borderId="0" xfId="0" applyNumberFormat="1" applyFont="1" applyFill="1" applyBorder="1" applyAlignment="1">
      <alignment horizontal="right" vertical="top" wrapText="1"/>
    </xf>
    <xf numFmtId="3" fontId="2" fillId="2" borderId="0" xfId="0" applyNumberFormat="1" applyFont="1" applyFill="1" applyBorder="1" applyAlignment="1">
      <alignment horizontal="right" vertical="top" wrapText="1"/>
    </xf>
    <xf numFmtId="164" fontId="5" fillId="2" borderId="0" xfId="1" applyNumberFormat="1" applyFont="1" applyFill="1" applyBorder="1" applyAlignment="1">
      <alignment horizontal="center" vertical="top" wrapText="1"/>
    </xf>
    <xf numFmtId="3" fontId="20" fillId="2" borderId="0" xfId="0" applyNumberFormat="1" applyFont="1" applyFill="1" applyAlignment="1">
      <alignment horizontal="right" vertical="top"/>
    </xf>
    <xf numFmtId="3" fontId="2" fillId="9" borderId="0" xfId="0" applyNumberFormat="1" applyFont="1" applyFill="1" applyAlignment="1">
      <alignment horizontal="right" vertical="top"/>
    </xf>
    <xf numFmtId="0" fontId="0" fillId="2" borderId="0" xfId="0" applyFill="1"/>
    <xf numFmtId="0" fontId="0" fillId="2" borderId="0" xfId="0" applyNumberFormat="1" applyFill="1"/>
    <xf numFmtId="0" fontId="7" fillId="4" borderId="1" xfId="0" applyFont="1" applyFill="1" applyBorder="1" applyAlignment="1">
      <alignment horizontal="center" vertical="top"/>
    </xf>
    <xf numFmtId="0" fontId="6" fillId="4" borderId="1" xfId="0" applyFont="1" applyFill="1" applyBorder="1" applyAlignment="1">
      <alignment horizontal="center" vertical="top"/>
    </xf>
    <xf numFmtId="164" fontId="7" fillId="4" borderId="1" xfId="1" applyNumberFormat="1" applyFont="1" applyFill="1" applyBorder="1" applyAlignment="1">
      <alignment horizontal="center" vertical="top"/>
    </xf>
    <xf numFmtId="0" fontId="20" fillId="2" borderId="0" xfId="0" applyFont="1" applyFill="1" applyBorder="1" applyAlignment="1">
      <alignment horizontal="center"/>
    </xf>
    <xf numFmtId="0" fontId="13" fillId="2" borderId="0" xfId="0" applyFont="1" applyFill="1" applyAlignment="1">
      <alignment horizontal="left"/>
    </xf>
    <xf numFmtId="0" fontId="2" fillId="2" borderId="0" xfId="0" applyFont="1" applyFill="1" applyAlignment="1">
      <alignment horizontal="center" vertical="center" wrapText="1"/>
    </xf>
    <xf numFmtId="0" fontId="2" fillId="2" borderId="0" xfId="0" applyFont="1" applyFill="1" applyBorder="1" applyAlignment="1">
      <alignment vertical="top" wrapText="1"/>
    </xf>
    <xf numFmtId="0" fontId="36" fillId="2" borderId="0" xfId="0" applyFont="1" applyFill="1"/>
    <xf numFmtId="0" fontId="36" fillId="2" borderId="10" xfId="0" applyFont="1" applyFill="1" applyBorder="1" applyAlignment="1">
      <alignment horizontal="center" vertical="center" wrapText="1"/>
    </xf>
    <xf numFmtId="0" fontId="23" fillId="2" borderId="9" xfId="0" applyFont="1" applyFill="1" applyBorder="1" applyAlignment="1"/>
    <xf numFmtId="0" fontId="2" fillId="2" borderId="9" xfId="0" applyFont="1" applyFill="1" applyBorder="1"/>
    <xf numFmtId="0" fontId="23" fillId="2" borderId="9" xfId="0" applyFont="1" applyFill="1" applyBorder="1" applyAlignment="1">
      <alignment horizontal="left"/>
    </xf>
    <xf numFmtId="0" fontId="2" fillId="2" borderId="12" xfId="0" applyFont="1" applyFill="1" applyBorder="1" applyAlignment="1">
      <alignment horizontal="left"/>
    </xf>
    <xf numFmtId="0" fontId="2" fillId="2" borderId="9" xfId="0" applyFont="1" applyFill="1" applyBorder="1" applyAlignment="1">
      <alignment horizontal="left"/>
    </xf>
    <xf numFmtId="0" fontId="2" fillId="2" borderId="0" xfId="0" applyFont="1" applyFill="1" applyBorder="1" applyAlignment="1"/>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6" xfId="0" applyFont="1" applyFill="1" applyBorder="1"/>
    <xf numFmtId="0" fontId="2" fillId="2" borderId="12" xfId="0" applyFont="1" applyFill="1" applyBorder="1" applyAlignment="1">
      <alignment vertical="top" wrapText="1"/>
    </xf>
    <xf numFmtId="0" fontId="2" fillId="2" borderId="9" xfId="0" applyFont="1" applyFill="1" applyBorder="1" applyAlignment="1">
      <alignment vertical="top" wrapText="1"/>
    </xf>
    <xf numFmtId="0" fontId="36" fillId="2" borderId="7" xfId="0" applyFont="1" applyFill="1" applyBorder="1" applyAlignment="1">
      <alignment horizontal="center" vertical="center" wrapText="1"/>
    </xf>
    <xf numFmtId="10" fontId="2" fillId="2" borderId="6" xfId="0" applyNumberFormat="1" applyFont="1" applyFill="1" applyBorder="1"/>
    <xf numFmtId="0" fontId="4" fillId="2" borderId="0" xfId="0" applyFont="1" applyFill="1" applyAlignment="1">
      <alignment vertical="center" wrapText="1"/>
    </xf>
    <xf numFmtId="10" fontId="2" fillId="2" borderId="0" xfId="1" applyNumberFormat="1" applyFont="1" applyFill="1"/>
    <xf numFmtId="10" fontId="2" fillId="2" borderId="1" xfId="1" applyNumberFormat="1" applyFont="1" applyFill="1" applyBorder="1"/>
    <xf numFmtId="0" fontId="36" fillId="2" borderId="1" xfId="0" applyFont="1" applyFill="1" applyBorder="1"/>
    <xf numFmtId="9" fontId="2" fillId="2" borderId="0" xfId="1" applyFont="1" applyFill="1"/>
    <xf numFmtId="0" fontId="2" fillId="2" borderId="0" xfId="0" applyFont="1" applyFill="1" applyAlignment="1">
      <alignment vertical="top"/>
    </xf>
    <xf numFmtId="0" fontId="34" fillId="2" borderId="0" xfId="0" applyFont="1" applyFill="1" applyAlignment="1">
      <alignment vertical="top"/>
    </xf>
    <xf numFmtId="0" fontId="2" fillId="2" borderId="1" xfId="0" applyFont="1" applyFill="1" applyBorder="1" applyAlignment="1">
      <alignment horizontal="center" vertical="center" wrapText="1"/>
    </xf>
    <xf numFmtId="164" fontId="2" fillId="2" borderId="1" xfId="1" applyNumberFormat="1" applyFont="1" applyFill="1" applyBorder="1"/>
    <xf numFmtId="3" fontId="2" fillId="2" borderId="1" xfId="0" applyNumberFormat="1" applyFont="1" applyFill="1" applyBorder="1"/>
    <xf numFmtId="3" fontId="2" fillId="2" borderId="1" xfId="0" applyNumberFormat="1" applyFont="1" applyFill="1" applyBorder="1" applyAlignment="1">
      <alignment vertical="top"/>
    </xf>
    <xf numFmtId="0" fontId="36" fillId="2" borderId="1" xfId="0" applyFont="1" applyFill="1" applyBorder="1" applyAlignment="1">
      <alignment wrapText="1"/>
    </xf>
    <xf numFmtId="0" fontId="36" fillId="2" borderId="1" xfId="0" applyFont="1" applyFill="1" applyBorder="1" applyAlignment="1">
      <alignment horizontal="center" vertical="center"/>
    </xf>
    <xf numFmtId="0" fontId="43" fillId="2" borderId="1" xfId="0" applyFont="1" applyFill="1" applyBorder="1"/>
    <xf numFmtId="0" fontId="7" fillId="2" borderId="0" xfId="0" applyFont="1" applyFill="1"/>
    <xf numFmtId="0" fontId="7" fillId="2" borderId="0" xfId="0" applyFont="1" applyFill="1" applyAlignment="1">
      <alignment vertical="top"/>
    </xf>
    <xf numFmtId="3" fontId="7" fillId="2" borderId="0" xfId="0" applyNumberFormat="1" applyFont="1" applyFill="1"/>
    <xf numFmtId="9" fontId="7" fillId="2" borderId="0" xfId="1" applyFont="1" applyFill="1"/>
    <xf numFmtId="164" fontId="7" fillId="2" borderId="0" xfId="1" applyNumberFormat="1" applyFont="1" applyFill="1"/>
    <xf numFmtId="0" fontId="7" fillId="2" borderId="0" xfId="0" applyFont="1" applyFill="1" applyAlignment="1">
      <alignment horizontal="center" vertical="center"/>
    </xf>
    <xf numFmtId="10" fontId="7" fillId="2" borderId="0" xfId="1" applyNumberFormat="1" applyFont="1" applyFill="1"/>
    <xf numFmtId="10" fontId="2" fillId="2" borderId="0" xfId="0" applyNumberFormat="1" applyFont="1" applyFill="1"/>
    <xf numFmtId="2" fontId="7" fillId="2" borderId="0" xfId="0" applyNumberFormat="1" applyFont="1" applyFill="1"/>
    <xf numFmtId="0" fontId="36" fillId="2" borderId="0" xfId="0" applyFont="1" applyFill="1" applyAlignment="1">
      <alignment vertical="top"/>
    </xf>
    <xf numFmtId="0" fontId="41" fillId="2" borderId="0" xfId="0" applyFont="1" applyFill="1"/>
    <xf numFmtId="0" fontId="6" fillId="2" borderId="0" xfId="0" applyFont="1" applyFill="1" applyAlignment="1">
      <alignment vertical="center" wrapText="1"/>
    </xf>
    <xf numFmtId="0" fontId="44" fillId="2" borderId="0" xfId="0" applyFont="1" applyFill="1" applyAlignment="1">
      <alignment horizontal="right"/>
    </xf>
    <xf numFmtId="0" fontId="45" fillId="2" borderId="0" xfId="0" applyFont="1" applyFill="1"/>
    <xf numFmtId="0" fontId="45" fillId="2" borderId="0" xfId="0" applyFont="1" applyFill="1" applyAlignment="1">
      <alignment vertical="top"/>
    </xf>
    <xf numFmtId="4" fontId="45" fillId="2" borderId="0" xfId="0" applyNumberFormat="1" applyFont="1" applyFill="1"/>
    <xf numFmtId="4" fontId="41" fillId="2" borderId="0" xfId="0" applyNumberFormat="1" applyFont="1" applyFill="1"/>
    <xf numFmtId="3" fontId="41" fillId="2" borderId="0" xfId="0" applyNumberFormat="1" applyFont="1" applyFill="1"/>
    <xf numFmtId="0" fontId="41" fillId="2" borderId="1" xfId="0" applyFont="1" applyFill="1" applyBorder="1"/>
    <xf numFmtId="3" fontId="41" fillId="2" borderId="1" xfId="0" applyNumberFormat="1" applyFont="1" applyFill="1" applyBorder="1"/>
    <xf numFmtId="3" fontId="41" fillId="2" borderId="0" xfId="0" applyNumberFormat="1" applyFont="1" applyFill="1" applyBorder="1"/>
    <xf numFmtId="0" fontId="7" fillId="2" borderId="0" xfId="0" applyFont="1" applyFill="1" applyAlignment="1">
      <alignment horizontal="center" vertical="center" wrapText="1"/>
    </xf>
    <xf numFmtId="3" fontId="7" fillId="2" borderId="0" xfId="0" applyNumberFormat="1" applyFont="1" applyFill="1" applyAlignment="1">
      <alignment vertical="top"/>
    </xf>
    <xf numFmtId="0" fontId="46" fillId="2" borderId="0" xfId="0" applyFont="1" applyFill="1"/>
    <xf numFmtId="9" fontId="45" fillId="2" borderId="0" xfId="0" applyNumberFormat="1" applyFont="1" applyFill="1"/>
    <xf numFmtId="3" fontId="37" fillId="2" borderId="0" xfId="0" applyNumberFormat="1" applyFont="1" applyFill="1"/>
    <xf numFmtId="0" fontId="5" fillId="3" borderId="0" xfId="0" applyFont="1" applyFill="1"/>
    <xf numFmtId="3" fontId="36" fillId="3" borderId="0" xfId="0" applyNumberFormat="1" applyFont="1" applyFill="1"/>
    <xf numFmtId="0" fontId="7" fillId="2" borderId="0" xfId="0" applyFont="1" applyFill="1" applyAlignment="1">
      <alignment horizontal="left" wrapText="1"/>
    </xf>
    <xf numFmtId="0" fontId="2" fillId="2" borderId="0" xfId="0" applyFont="1" applyFill="1" applyAlignment="1"/>
    <xf numFmtId="3" fontId="20" fillId="2" borderId="0" xfId="0" applyNumberFormat="1" applyFont="1" applyFill="1"/>
    <xf numFmtId="9" fontId="6" fillId="3" borderId="1" xfId="0" applyNumberFormat="1" applyFont="1" applyFill="1" applyBorder="1" applyAlignment="1">
      <alignment horizontal="right" vertical="top"/>
    </xf>
    <xf numFmtId="9" fontId="6" fillId="3" borderId="1" xfId="1" applyFont="1" applyFill="1" applyBorder="1" applyAlignment="1">
      <alignment horizontal="right" vertical="top"/>
    </xf>
    <xf numFmtId="0" fontId="7" fillId="2" borderId="1" xfId="0" applyFont="1" applyFill="1" applyBorder="1" applyAlignment="1">
      <alignment horizontal="center" vertical="center" wrapText="1"/>
    </xf>
    <xf numFmtId="3" fontId="7" fillId="2" borderId="1" xfId="0" applyNumberFormat="1" applyFont="1" applyFill="1" applyBorder="1" applyAlignment="1">
      <alignment horizontal="center" vertical="center"/>
    </xf>
    <xf numFmtId="0" fontId="41" fillId="2" borderId="1" xfId="0" applyFont="1" applyFill="1" applyBorder="1" applyAlignment="1">
      <alignment horizontal="center" vertical="center" wrapText="1"/>
    </xf>
    <xf numFmtId="3" fontId="41" fillId="2" borderId="1" xfId="0" applyNumberFormat="1" applyFont="1" applyFill="1" applyBorder="1" applyAlignment="1">
      <alignment horizontal="center" vertical="center"/>
    </xf>
    <xf numFmtId="3" fontId="7" fillId="2" borderId="0" xfId="0" applyNumberFormat="1" applyFont="1" applyFill="1" applyAlignment="1">
      <alignment horizontal="right" vertical="top"/>
    </xf>
    <xf numFmtId="3" fontId="5" fillId="3"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6" fillId="2" borderId="0" xfId="0" applyFont="1" applyFill="1" applyAlignment="1">
      <alignment horizontal="right"/>
    </xf>
    <xf numFmtId="0" fontId="4" fillId="2" borderId="0" xfId="0" applyFont="1" applyFill="1" applyAlignment="1">
      <alignment horizontal="center" vertical="center" wrapText="1"/>
    </xf>
    <xf numFmtId="0" fontId="42" fillId="2" borderId="0" xfId="0" applyFont="1" applyFill="1" applyAlignment="1">
      <alignment horizontal="center" vertical="center" wrapText="1"/>
    </xf>
    <xf numFmtId="0" fontId="7" fillId="2" borderId="0" xfId="0" applyFont="1" applyFill="1" applyAlignment="1">
      <alignment horizontal="left" wrapText="1"/>
    </xf>
    <xf numFmtId="0" fontId="7" fillId="2" borderId="0" xfId="0" applyFont="1" applyFill="1" applyAlignment="1">
      <alignment horizontal="left"/>
    </xf>
    <xf numFmtId="0" fontId="7" fillId="2" borderId="0" xfId="0" applyFont="1" applyFill="1" applyAlignment="1">
      <alignment horizontal="left" vertical="top" wrapText="1"/>
    </xf>
    <xf numFmtId="0" fontId="6" fillId="4" borderId="0" xfId="0" applyFont="1" applyFill="1" applyAlignment="1">
      <alignment horizontal="left" vertical="center" wrapText="1"/>
    </xf>
    <xf numFmtId="0" fontId="45" fillId="2" borderId="0" xfId="0" applyFont="1" applyFill="1" applyAlignment="1">
      <alignment horizontal="left"/>
    </xf>
    <xf numFmtId="0" fontId="2" fillId="2" borderId="0" xfId="0" applyFont="1" applyFill="1" applyAlignment="1">
      <alignment horizontal="center" wrapText="1"/>
    </xf>
    <xf numFmtId="0" fontId="7" fillId="2" borderId="0" xfId="0" applyFont="1" applyFill="1" applyAlignment="1">
      <alignment horizontal="center" vertical="center"/>
    </xf>
    <xf numFmtId="0" fontId="13" fillId="2" borderId="0" xfId="0" applyFont="1" applyFill="1" applyAlignment="1">
      <alignment horizontal="left"/>
    </xf>
    <xf numFmtId="0" fontId="36" fillId="2" borderId="1" xfId="0" applyFont="1" applyFill="1" applyBorder="1" applyAlignment="1">
      <alignment horizontal="left" wrapText="1"/>
    </xf>
    <xf numFmtId="0" fontId="2" fillId="2" borderId="0" xfId="0" applyFont="1" applyFill="1" applyAlignment="1">
      <alignment horizontal="left"/>
    </xf>
    <xf numFmtId="0" fontId="12" fillId="6" borderId="0" xfId="0" applyFont="1" applyFill="1" applyAlignment="1">
      <alignment horizontal="center"/>
    </xf>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wrapText="1"/>
    </xf>
    <xf numFmtId="0" fontId="5" fillId="3" borderId="0" xfId="0" applyFont="1" applyFill="1" applyAlignment="1">
      <alignment horizontal="center"/>
    </xf>
    <xf numFmtId="0" fontId="5" fillId="2" borderId="11" xfId="0" applyFont="1" applyFill="1" applyBorder="1" applyAlignment="1">
      <alignment horizontal="center" vertical="center"/>
    </xf>
    <xf numFmtId="0" fontId="5" fillId="2" borderId="10" xfId="0" applyFont="1" applyFill="1" applyBorder="1" applyAlignment="1">
      <alignment horizontal="center" vertical="center"/>
    </xf>
    <xf numFmtId="0" fontId="35" fillId="2" borderId="0" xfId="0" applyFont="1" applyFill="1" applyAlignment="1">
      <alignment horizontal="center"/>
    </xf>
    <xf numFmtId="0" fontId="2" fillId="2" borderId="12" xfId="0" applyFont="1" applyFill="1" applyBorder="1" applyAlignment="1">
      <alignment horizontal="left"/>
    </xf>
    <xf numFmtId="0" fontId="2" fillId="2" borderId="9" xfId="0" applyFont="1" applyFill="1" applyBorder="1" applyAlignment="1">
      <alignment horizontal="left"/>
    </xf>
    <xf numFmtId="0" fontId="25" fillId="7" borderId="1" xfId="0" applyFont="1" applyFill="1" applyBorder="1" applyAlignment="1">
      <alignment horizontal="center"/>
    </xf>
    <xf numFmtId="0" fontId="5" fillId="2" borderId="8" xfId="0" applyFont="1" applyFill="1" applyBorder="1" applyAlignment="1">
      <alignment horizontal="center" vertical="center"/>
    </xf>
    <xf numFmtId="0" fontId="23" fillId="2" borderId="0" xfId="0" applyFont="1" applyFill="1" applyBorder="1" applyAlignment="1">
      <alignment horizontal="left"/>
    </xf>
    <xf numFmtId="0" fontId="13" fillId="2" borderId="0" xfId="0" applyFont="1" applyFill="1" applyAlignment="1">
      <alignment horizontal="center"/>
    </xf>
    <xf numFmtId="0" fontId="25" fillId="3" borderId="0" xfId="0" applyFont="1" applyFill="1" applyAlignment="1">
      <alignment horizontal="center"/>
    </xf>
    <xf numFmtId="0" fontId="2" fillId="0" borderId="0" xfId="0" applyFont="1" applyFill="1" applyAlignment="1">
      <alignment horizontal="center" vertical="center" wrapText="1"/>
    </xf>
    <xf numFmtId="0" fontId="13" fillId="6" borderId="0" xfId="0" applyFont="1" applyFill="1" applyAlignment="1">
      <alignment horizontal="left"/>
    </xf>
    <xf numFmtId="0" fontId="25" fillId="7" borderId="2" xfId="0" applyFont="1" applyFill="1" applyBorder="1" applyAlignment="1">
      <alignment horizontal="center"/>
    </xf>
    <xf numFmtId="0" fontId="25" fillId="7" borderId="3" xfId="0" applyFont="1" applyFill="1" applyBorder="1" applyAlignment="1">
      <alignment horizontal="center"/>
    </xf>
    <xf numFmtId="0" fontId="25" fillId="7" borderId="4" xfId="0" applyFont="1" applyFill="1" applyBorder="1" applyAlignment="1">
      <alignment horizontal="center"/>
    </xf>
    <xf numFmtId="0" fontId="13" fillId="6" borderId="0" xfId="0" applyFont="1" applyFill="1" applyAlignment="1">
      <alignment horizontal="center"/>
    </xf>
    <xf numFmtId="0" fontId="23" fillId="2" borderId="1" xfId="0" applyFont="1" applyFill="1" applyBorder="1" applyAlignment="1">
      <alignment horizontal="center" vertical="center" wrapText="1"/>
    </xf>
    <xf numFmtId="0" fontId="13" fillId="6" borderId="0" xfId="0" applyFont="1" applyFill="1" applyAlignment="1">
      <alignment horizontal="center" vertical="center"/>
    </xf>
    <xf numFmtId="0" fontId="23" fillId="2" borderId="1" xfId="0" applyFont="1" applyFill="1" applyBorder="1" applyAlignment="1">
      <alignment horizontal="center" vertical="top" wrapText="1"/>
    </xf>
    <xf numFmtId="0" fontId="5" fillId="7" borderId="2" xfId="0" applyFont="1" applyFill="1" applyBorder="1" applyAlignment="1" applyProtection="1">
      <alignment horizontal="left" vertical="center"/>
      <protection locked="0"/>
    </xf>
    <xf numFmtId="0" fontId="5" fillId="7" borderId="3" xfId="0" applyFont="1" applyFill="1" applyBorder="1" applyAlignment="1" applyProtection="1">
      <alignment horizontal="left" vertical="center"/>
      <protection locked="0"/>
    </xf>
    <xf numFmtId="0" fontId="5" fillId="7" borderId="4" xfId="0" applyFont="1" applyFill="1" applyBorder="1" applyAlignment="1" applyProtection="1">
      <alignment horizontal="left" vertical="center"/>
      <protection locked="0"/>
    </xf>
    <xf numFmtId="0" fontId="17" fillId="0" borderId="0" xfId="0" applyFont="1" applyAlignment="1" applyProtection="1">
      <alignment horizontal="left"/>
      <protection locked="0"/>
    </xf>
    <xf numFmtId="0" fontId="14" fillId="0" borderId="5"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5" xfId="2" applyFont="1" applyBorder="1" applyAlignment="1" applyProtection="1">
      <alignment horizontal="left" vertical="center" wrapText="1" shrinkToFit="1"/>
      <protection locked="0"/>
    </xf>
    <xf numFmtId="0" fontId="14" fillId="0" borderId="6" xfId="2" applyFont="1" applyBorder="1" applyAlignment="1" applyProtection="1">
      <alignment horizontal="left" vertical="center" wrapText="1" shrinkToFit="1"/>
      <protection locked="0"/>
    </xf>
    <xf numFmtId="0" fontId="14" fillId="0" borderId="7" xfId="2" applyFont="1" applyBorder="1" applyAlignment="1" applyProtection="1">
      <alignment horizontal="left" vertical="center" wrapText="1" shrinkToFit="1"/>
      <protection locked="0"/>
    </xf>
    <xf numFmtId="0" fontId="14" fillId="0" borderId="5" xfId="2" applyFont="1" applyBorder="1" applyAlignment="1" applyProtection="1">
      <alignment horizontal="left" vertical="center"/>
      <protection locked="0"/>
    </xf>
    <xf numFmtId="0" fontId="14" fillId="0" borderId="7" xfId="2" applyFont="1" applyBorder="1" applyAlignment="1" applyProtection="1">
      <alignment horizontal="left" vertical="center"/>
      <protection locked="0"/>
    </xf>
    <xf numFmtId="0" fontId="13" fillId="6" borderId="0" xfId="0" applyFont="1" applyFill="1" applyAlignment="1" applyProtection="1">
      <alignment horizontal="left" vertical="center" wrapText="1"/>
      <protection locked="0"/>
    </xf>
    <xf numFmtId="0" fontId="36" fillId="2" borderId="1" xfId="0" applyFont="1" applyFill="1" applyBorder="1" applyAlignment="1" applyProtection="1">
      <alignment horizontal="left" vertical="center"/>
      <protection locked="0"/>
    </xf>
    <xf numFmtId="0" fontId="37" fillId="2" borderId="1" xfId="0" applyFont="1" applyFill="1" applyBorder="1" applyAlignment="1" applyProtection="1">
      <alignment horizontal="left" vertical="center" wrapText="1"/>
      <protection locked="0"/>
    </xf>
    <xf numFmtId="0" fontId="37" fillId="4" borderId="1" xfId="0" applyFont="1" applyFill="1" applyBorder="1" applyAlignment="1" applyProtection="1">
      <alignment horizontal="center" vertical="center" wrapText="1"/>
      <protection locked="0"/>
    </xf>
    <xf numFmtId="0" fontId="2" fillId="0" borderId="1" xfId="0" applyFont="1" applyBorder="1" applyAlignment="1" applyProtection="1">
      <alignment vertical="center"/>
      <protection locked="0"/>
    </xf>
    <xf numFmtId="0" fontId="14" fillId="4" borderId="1" xfId="2" applyFont="1" applyFill="1" applyBorder="1" applyAlignment="1">
      <alignment horizontal="center" vertical="center"/>
    </xf>
  </cellXfs>
  <cellStyles count="4">
    <cellStyle name="Neutral 2" xfId="3" xr:uid="{00000000-0005-0000-0000-000000000000}"/>
    <cellStyle name="Normal" xfId="0" builtinId="0"/>
    <cellStyle name="Normal 2" xfId="2" xr:uid="{00000000-0005-0000-0000-000002000000}"/>
    <cellStyle name="Percent" xfId="1" builtinId="5"/>
  </cellStyles>
  <dxfs count="21">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0000"/>
      </font>
      <fill>
        <patternFill>
          <bgColor theme="2" tint="-9.9948118533890809E-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0000"/>
      </font>
      <fill>
        <patternFill>
          <bgColor theme="2" tint="-9.9948118533890809E-2"/>
        </patternFill>
      </fill>
    </dxf>
    <dxf>
      <font>
        <color theme="0"/>
      </font>
      <fill>
        <patternFill>
          <bgColor theme="0"/>
        </patternFill>
      </fill>
      <border>
        <left/>
        <right/>
        <top/>
        <bottom/>
        <vertical/>
        <horizontal/>
      </border>
    </dxf>
    <dxf>
      <font>
        <color theme="0"/>
      </font>
      <fill>
        <patternFill>
          <bgColor theme="0"/>
        </patternFill>
      </fill>
      <border>
        <left/>
        <right/>
        <top/>
        <bottom/>
      </border>
    </dxf>
    <dxf>
      <font>
        <color rgb="FFFF0000"/>
      </font>
      <fill>
        <patternFill>
          <bgColor theme="2" tint="-9.9948118533890809E-2"/>
        </patternFill>
      </fill>
    </dxf>
    <dxf>
      <font>
        <color theme="0"/>
      </font>
      <fill>
        <patternFill>
          <bgColor theme="0"/>
        </patternFill>
      </fill>
      <border>
        <left/>
        <right/>
        <top/>
        <bottom/>
      </border>
    </dxf>
    <dxf>
      <font>
        <color theme="0"/>
      </font>
      <fill>
        <patternFill>
          <bgColor theme="0"/>
        </patternFill>
      </fill>
      <border>
        <left/>
        <right/>
        <top/>
        <bottom/>
        <vertical/>
        <horizontal/>
      </border>
    </dxf>
    <dxf>
      <font>
        <color rgb="FFFF0000"/>
      </font>
      <fill>
        <patternFill>
          <bgColor theme="2" tint="-9.9948118533890809E-2"/>
        </patternFill>
      </fill>
    </dxf>
    <dxf>
      <font>
        <color theme="0"/>
      </font>
      <fill>
        <patternFill>
          <bgColor theme="0"/>
        </patternFill>
      </fill>
      <border>
        <left/>
        <right/>
        <top/>
        <bottom/>
      </border>
    </dxf>
    <dxf>
      <font>
        <color theme="0"/>
      </font>
      <fill>
        <patternFill>
          <bgColor theme="0"/>
        </patternFill>
      </fill>
      <border>
        <left/>
        <right/>
        <top/>
        <bottom/>
        <vertical/>
        <horizontal/>
      </border>
    </dxf>
    <dxf>
      <font>
        <color rgb="FFFF0000"/>
      </font>
      <fill>
        <patternFill>
          <bgColor theme="2" tint="-9.9948118533890809E-2"/>
        </patternFill>
      </fill>
    </dxf>
    <dxf>
      <font>
        <color theme="4" tint="-0.499984740745262"/>
      </font>
      <fill>
        <patternFill>
          <bgColor theme="8" tint="0.39994506668294322"/>
        </patternFill>
      </fill>
    </dxf>
    <dxf>
      <font>
        <color theme="1" tint="0.14996795556505021"/>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Ieguldījumam atbilstošā vērtība – Bāze I</a:t>
            </a:r>
            <a:endParaRPr lang="en-GB"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IAV!$B$8:$B$10</c:f>
              <c:strCache>
                <c:ptCount val="3"/>
                <c:pt idx="0">
                  <c:v>Partnerības modelis</c:v>
                </c:pt>
                <c:pt idx="1">
                  <c:v>Koncesijas modelis</c:v>
                </c:pt>
                <c:pt idx="2">
                  <c:v>Institucionālais modelis</c:v>
                </c:pt>
              </c:strCache>
            </c:strRef>
          </c:cat>
          <c:val>
            <c:numRef>
              <c:f>IAV!$F$8:$F$10</c:f>
              <c:numCache>
                <c:formatCode>#,##0</c:formatCode>
                <c:ptCount val="3"/>
                <c:pt idx="0">
                  <c:v>60183.959194386378</c:v>
                </c:pt>
                <c:pt idx="1">
                  <c:v>0</c:v>
                </c:pt>
                <c:pt idx="2">
                  <c:v>0</c:v>
                </c:pt>
              </c:numCache>
            </c:numRef>
          </c:val>
          <c:extLst>
            <c:ext xmlns:c16="http://schemas.microsoft.com/office/drawing/2014/chart" uri="{C3380CC4-5D6E-409C-BE32-E72D297353CC}">
              <c16:uniqueId val="{00000000-3EAF-4322-AF2A-EFC3AB87B3C3}"/>
            </c:ext>
          </c:extLst>
        </c:ser>
        <c:dLbls>
          <c:showLegendKey val="0"/>
          <c:showVal val="0"/>
          <c:showCatName val="0"/>
          <c:showSerName val="0"/>
          <c:showPercent val="0"/>
          <c:showBubbleSize val="0"/>
        </c:dLbls>
        <c:gapWidth val="30"/>
        <c:overlap val="-27"/>
        <c:axId val="1495758944"/>
        <c:axId val="1495759360"/>
      </c:barChart>
      <c:catAx>
        <c:axId val="1495758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495759360"/>
        <c:crosses val="autoZero"/>
        <c:auto val="1"/>
        <c:lblAlgn val="ctr"/>
        <c:lblOffset val="100"/>
        <c:noMultiLvlLbl val="0"/>
      </c:catAx>
      <c:valAx>
        <c:axId val="1495759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4957589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en-GB"/>
              <a:t>Ieguldījuma</a:t>
            </a:r>
            <a:r>
              <a:rPr lang="lv-LV"/>
              <a:t>m</a:t>
            </a:r>
            <a:r>
              <a:rPr lang="en-GB"/>
              <a:t> atbilstošā vērtība – Bāze I</a:t>
            </a:r>
            <a:r>
              <a:rPr lang="lv-LV"/>
              <a:t>I</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bg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IAV!$B$8:$B$10</c:f>
              <c:strCache>
                <c:ptCount val="3"/>
                <c:pt idx="0">
                  <c:v>Partnerības modelis</c:v>
                </c:pt>
                <c:pt idx="1">
                  <c:v>Koncesijas modelis</c:v>
                </c:pt>
                <c:pt idx="2">
                  <c:v>Institucionālais modelis</c:v>
                </c:pt>
              </c:strCache>
            </c:strRef>
          </c:cat>
          <c:val>
            <c:numRef>
              <c:f>IAV!$G$8:$G$10</c:f>
              <c:numCache>
                <c:formatCode>#,##0</c:formatCode>
                <c:ptCount val="3"/>
                <c:pt idx="0">
                  <c:v>0</c:v>
                </c:pt>
                <c:pt idx="1">
                  <c:v>0</c:v>
                </c:pt>
                <c:pt idx="2">
                  <c:v>0</c:v>
                </c:pt>
              </c:numCache>
            </c:numRef>
          </c:val>
          <c:extLst>
            <c:ext xmlns:c16="http://schemas.microsoft.com/office/drawing/2014/chart" uri="{C3380CC4-5D6E-409C-BE32-E72D297353CC}">
              <c16:uniqueId val="{00000000-C4A2-4FC1-A0E2-3A2F05D7D404}"/>
            </c:ext>
          </c:extLst>
        </c:ser>
        <c:dLbls>
          <c:showLegendKey val="0"/>
          <c:showVal val="0"/>
          <c:showCatName val="0"/>
          <c:showSerName val="0"/>
          <c:showPercent val="0"/>
          <c:showBubbleSize val="0"/>
        </c:dLbls>
        <c:gapWidth val="30"/>
        <c:overlap val="-27"/>
        <c:axId val="1853223968"/>
        <c:axId val="1853224384"/>
      </c:barChart>
      <c:catAx>
        <c:axId val="1853223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853224384"/>
        <c:crosses val="autoZero"/>
        <c:auto val="1"/>
        <c:lblAlgn val="ctr"/>
        <c:lblOffset val="100"/>
        <c:noMultiLvlLbl val="0"/>
      </c:catAx>
      <c:valAx>
        <c:axId val="1853224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853223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bg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Paredzamā līgumcena, EUR</a:t>
            </a:r>
            <a:endParaRPr lang="en-GB"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IAV!$B$6:$B$10</c:f>
              <c:strCache>
                <c:ptCount val="5"/>
                <c:pt idx="0">
                  <c:v>Bāzes modelis I</c:v>
                </c:pt>
                <c:pt idx="1">
                  <c:v>Bāzes modelis II</c:v>
                </c:pt>
                <c:pt idx="2">
                  <c:v>Partnerības modelis</c:v>
                </c:pt>
                <c:pt idx="3">
                  <c:v>Koncesijas modelis</c:v>
                </c:pt>
                <c:pt idx="4">
                  <c:v>Institucionālais modelis</c:v>
                </c:pt>
              </c:strCache>
            </c:strRef>
          </c:cat>
          <c:val>
            <c:numRef>
              <c:f>IAV!$H$6:$H$10</c:f>
              <c:numCache>
                <c:formatCode>#,##0</c:formatCode>
                <c:ptCount val="5"/>
                <c:pt idx="0">
                  <c:v>5715888.7374689672</c:v>
                </c:pt>
                <c:pt idx="1">
                  <c:v>0</c:v>
                </c:pt>
                <c:pt idx="2">
                  <c:v>5602530.7437587455</c:v>
                </c:pt>
                <c:pt idx="3">
                  <c:v>0</c:v>
                </c:pt>
                <c:pt idx="4">
                  <c:v>0</c:v>
                </c:pt>
              </c:numCache>
            </c:numRef>
          </c:val>
          <c:extLst>
            <c:ext xmlns:c16="http://schemas.microsoft.com/office/drawing/2014/chart" uri="{C3380CC4-5D6E-409C-BE32-E72D297353CC}">
              <c16:uniqueId val="{00000000-C83A-400D-A229-B739AF1CA01F}"/>
            </c:ext>
          </c:extLst>
        </c:ser>
        <c:dLbls>
          <c:showLegendKey val="0"/>
          <c:showVal val="0"/>
          <c:showCatName val="0"/>
          <c:showSerName val="0"/>
          <c:showPercent val="0"/>
          <c:showBubbleSize val="0"/>
        </c:dLbls>
        <c:gapWidth val="30"/>
        <c:overlap val="-27"/>
        <c:axId val="1599397408"/>
        <c:axId val="1599398656"/>
      </c:barChart>
      <c:catAx>
        <c:axId val="159939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599398656"/>
        <c:crosses val="autoZero"/>
        <c:auto val="1"/>
        <c:lblAlgn val="ctr"/>
        <c:lblOffset val="100"/>
        <c:noMultiLvlLbl val="0"/>
      </c:catAx>
      <c:valAx>
        <c:axId val="15993986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599397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609599</xdr:colOff>
      <xdr:row>12</xdr:row>
      <xdr:rowOff>97151</xdr:rowOff>
    </xdr:from>
    <xdr:to>
      <xdr:col>3</xdr:col>
      <xdr:colOff>689999</xdr:colOff>
      <xdr:row>25</xdr:row>
      <xdr:rowOff>134006</xdr:rowOff>
    </xdr:to>
    <xdr:graphicFrame macro="">
      <xdr:nvGraphicFramePr>
        <xdr:cNvPr id="4" name="Chart 3">
          <a:extLst>
            <a:ext uri="{FF2B5EF4-FFF2-40B4-BE49-F238E27FC236}">
              <a16:creationId xmlns:a16="http://schemas.microsoft.com/office/drawing/2014/main" id="{8E4CF3FA-410A-43B8-B40E-42ABE568D9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9526</xdr:colOff>
      <xdr:row>27</xdr:row>
      <xdr:rowOff>85725</xdr:rowOff>
    </xdr:from>
    <xdr:to>
      <xdr:col>3</xdr:col>
      <xdr:colOff>710565</xdr:colOff>
      <xdr:row>41</xdr:row>
      <xdr:rowOff>115380</xdr:rowOff>
    </xdr:to>
    <xdr:graphicFrame macro="">
      <xdr:nvGraphicFramePr>
        <xdr:cNvPr id="5" name="Chart 4">
          <a:extLst>
            <a:ext uri="{FF2B5EF4-FFF2-40B4-BE49-F238E27FC236}">
              <a16:creationId xmlns:a16="http://schemas.microsoft.com/office/drawing/2014/main" id="{F0DC719E-20E5-4962-872C-D75B52CDC2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17145</xdr:colOff>
      <xdr:row>12</xdr:row>
      <xdr:rowOff>56198</xdr:rowOff>
    </xdr:from>
    <xdr:to>
      <xdr:col>8</xdr:col>
      <xdr:colOff>0</xdr:colOff>
      <xdr:row>25</xdr:row>
      <xdr:rowOff>93473</xdr:rowOff>
    </xdr:to>
    <xdr:graphicFrame macro="">
      <xdr:nvGraphicFramePr>
        <xdr:cNvPr id="6" name="Chart 5">
          <a:extLst>
            <a:ext uri="{FF2B5EF4-FFF2-40B4-BE49-F238E27FC236}">
              <a16:creationId xmlns:a16="http://schemas.microsoft.com/office/drawing/2014/main" id="{D6FCE40C-F17E-4737-B45D-B9C2E89CED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zoomScaleNormal="100" zoomScaleSheetLayoutView="100" workbookViewId="0">
      <selection activeCell="C15" sqref="C15:F16"/>
    </sheetView>
  </sheetViews>
  <sheetFormatPr defaultColWidth="0" defaultRowHeight="12" zeroHeight="1" x14ac:dyDescent="0.25"/>
  <cols>
    <col min="1" max="1" width="6" style="2" customWidth="1"/>
    <col min="2" max="2" width="3.5546875" style="2" customWidth="1"/>
    <col min="3" max="3" width="22.5546875" style="2" customWidth="1"/>
    <col min="4" max="7" width="8.88671875" style="2" customWidth="1"/>
    <col min="8" max="8" width="3.33203125" style="2" hidden="1" customWidth="1"/>
    <col min="9" max="16384" width="8.88671875" style="2" hidden="1"/>
  </cols>
  <sheetData>
    <row r="1" spans="1:8" x14ac:dyDescent="0.25">
      <c r="A1" s="163" t="s">
        <v>233</v>
      </c>
      <c r="B1" s="1"/>
      <c r="C1" s="1"/>
      <c r="D1" s="1"/>
      <c r="E1" s="1"/>
      <c r="F1" s="1"/>
      <c r="G1" s="1"/>
    </row>
    <row r="2" spans="1:8" x14ac:dyDescent="0.25">
      <c r="A2" s="1"/>
      <c r="B2" s="1"/>
      <c r="C2" s="1"/>
      <c r="D2" s="1"/>
      <c r="E2" s="1"/>
      <c r="F2" s="1"/>
      <c r="G2" s="1"/>
    </row>
    <row r="3" spans="1:8" x14ac:dyDescent="0.25">
      <c r="A3" s="1"/>
      <c r="B3" s="1"/>
      <c r="C3" s="249" t="s">
        <v>0</v>
      </c>
      <c r="D3" s="249"/>
      <c r="E3" s="249"/>
      <c r="F3" s="249"/>
      <c r="G3" s="1"/>
    </row>
    <row r="4" spans="1:8" ht="12" customHeight="1" x14ac:dyDescent="0.25">
      <c r="A4" s="1"/>
      <c r="B4" s="1"/>
      <c r="C4" s="249"/>
      <c r="D4" s="249"/>
      <c r="E4" s="249"/>
      <c r="F4" s="249"/>
      <c r="G4" s="1"/>
    </row>
    <row r="5" spans="1:8" ht="12" customHeight="1" x14ac:dyDescent="0.25">
      <c r="A5" s="1"/>
      <c r="B5" s="1"/>
      <c r="C5" s="249"/>
      <c r="D5" s="249"/>
      <c r="E5" s="249"/>
      <c r="F5" s="249"/>
      <c r="G5" s="1"/>
      <c r="H5" s="2" t="s">
        <v>1</v>
      </c>
    </row>
    <row r="6" spans="1:8" x14ac:dyDescent="0.25">
      <c r="A6" s="1"/>
      <c r="B6" s="1"/>
      <c r="C6" s="3"/>
      <c r="D6" s="3"/>
      <c r="E6" s="3"/>
      <c r="F6" s="3"/>
      <c r="G6" s="1"/>
      <c r="H6" s="2" t="s">
        <v>2</v>
      </c>
    </row>
    <row r="7" spans="1:8" x14ac:dyDescent="0.25">
      <c r="A7" s="1"/>
      <c r="B7" s="1"/>
      <c r="C7" s="1"/>
      <c r="D7" s="1"/>
      <c r="E7" s="1"/>
      <c r="F7" s="1"/>
      <c r="G7" s="1"/>
    </row>
    <row r="8" spans="1:8" ht="12" customHeight="1" x14ac:dyDescent="0.25">
      <c r="A8" s="1"/>
      <c r="B8" s="1"/>
      <c r="C8" s="251" t="s">
        <v>352</v>
      </c>
      <c r="D8" s="251"/>
      <c r="E8" s="251"/>
      <c r="F8" s="251"/>
      <c r="G8" s="1"/>
    </row>
    <row r="9" spans="1:8" ht="12" customHeight="1" x14ac:dyDescent="0.25">
      <c r="A9" s="1"/>
      <c r="B9" s="1"/>
      <c r="C9" s="251"/>
      <c r="D9" s="251"/>
      <c r="E9" s="251"/>
      <c r="F9" s="251"/>
      <c r="G9" s="1"/>
    </row>
    <row r="10" spans="1:8" ht="12" customHeight="1" x14ac:dyDescent="0.25">
      <c r="A10" s="1"/>
      <c r="B10" s="1"/>
      <c r="C10" s="251"/>
      <c r="D10" s="251"/>
      <c r="E10" s="251"/>
      <c r="F10" s="251"/>
      <c r="G10" s="1"/>
    </row>
    <row r="11" spans="1:8" ht="12" customHeight="1" x14ac:dyDescent="0.25">
      <c r="A11" s="1"/>
      <c r="B11" s="1"/>
      <c r="C11" s="251"/>
      <c r="D11" s="251"/>
      <c r="E11" s="251"/>
      <c r="F11" s="251"/>
      <c r="G11" s="1"/>
    </row>
    <row r="12" spans="1:8" ht="12" customHeight="1" x14ac:dyDescent="0.25">
      <c r="A12" s="1"/>
      <c r="B12" s="1"/>
      <c r="C12" s="196"/>
      <c r="D12" s="196"/>
      <c r="E12" s="196"/>
      <c r="F12" s="196"/>
      <c r="G12" s="1"/>
    </row>
    <row r="13" spans="1:8" ht="12" customHeight="1" x14ac:dyDescent="0.25">
      <c r="A13" s="1"/>
      <c r="B13" s="1"/>
      <c r="C13" s="196"/>
      <c r="D13" s="196"/>
      <c r="E13" s="196"/>
      <c r="F13" s="196"/>
      <c r="G13" s="1"/>
    </row>
    <row r="14" spans="1:8" ht="12" customHeight="1" x14ac:dyDescent="0.25">
      <c r="A14" s="1"/>
      <c r="B14" s="1"/>
      <c r="C14" s="196"/>
      <c r="D14" s="196"/>
      <c r="E14" s="196"/>
      <c r="F14" s="196"/>
      <c r="G14" s="1"/>
    </row>
    <row r="15" spans="1:8" ht="12" customHeight="1" x14ac:dyDescent="0.25">
      <c r="A15" s="1"/>
      <c r="B15" s="1"/>
      <c r="C15" s="252" t="s">
        <v>354</v>
      </c>
      <c r="D15" s="252"/>
      <c r="E15" s="252"/>
      <c r="F15" s="252"/>
      <c r="G15" s="1"/>
    </row>
    <row r="16" spans="1:8" ht="20.399999999999999" customHeight="1" x14ac:dyDescent="0.25">
      <c r="A16" s="1"/>
      <c r="B16" s="1"/>
      <c r="C16" s="252"/>
      <c r="D16" s="252"/>
      <c r="E16" s="252"/>
      <c r="F16" s="252"/>
      <c r="G16" s="1"/>
    </row>
    <row r="17" spans="1:7" x14ac:dyDescent="0.25">
      <c r="A17" s="1"/>
      <c r="B17" s="1"/>
      <c r="C17" s="1"/>
      <c r="D17" s="1"/>
      <c r="E17" s="1"/>
      <c r="F17" s="1"/>
      <c r="G17" s="1"/>
    </row>
    <row r="18" spans="1:7" x14ac:dyDescent="0.25">
      <c r="A18" s="1"/>
      <c r="B18" s="1"/>
      <c r="C18" s="4" t="s">
        <v>3</v>
      </c>
      <c r="D18" s="5" t="s">
        <v>4</v>
      </c>
      <c r="E18" s="1"/>
      <c r="F18" s="1"/>
      <c r="G18" s="1"/>
    </row>
    <row r="19" spans="1:7" x14ac:dyDescent="0.25">
      <c r="A19" s="1"/>
      <c r="B19" s="1"/>
      <c r="C19" s="1" t="s">
        <v>234</v>
      </c>
      <c r="D19" s="132" t="s">
        <v>1</v>
      </c>
      <c r="E19" s="1"/>
      <c r="F19" s="1"/>
      <c r="G19" s="1"/>
    </row>
    <row r="20" spans="1:7" x14ac:dyDescent="0.25">
      <c r="A20" s="1"/>
      <c r="B20" s="1"/>
      <c r="C20" s="1" t="s">
        <v>235</v>
      </c>
      <c r="D20" s="132" t="s">
        <v>2</v>
      </c>
      <c r="E20" s="1"/>
      <c r="F20" s="1"/>
      <c r="G20" s="1"/>
    </row>
    <row r="21" spans="1:7" x14ac:dyDescent="0.25">
      <c r="A21" s="1"/>
      <c r="B21" s="1"/>
      <c r="C21" s="1" t="s">
        <v>5</v>
      </c>
      <c r="D21" s="132" t="s">
        <v>1</v>
      </c>
      <c r="E21" s="1"/>
      <c r="F21" s="1"/>
      <c r="G21" s="1"/>
    </row>
    <row r="22" spans="1:7" x14ac:dyDescent="0.25">
      <c r="A22" s="1"/>
      <c r="B22" s="1"/>
      <c r="C22" s="1" t="s">
        <v>6</v>
      </c>
      <c r="D22" s="132" t="s">
        <v>2</v>
      </c>
      <c r="E22" s="1"/>
      <c r="F22" s="1"/>
      <c r="G22" s="1"/>
    </row>
    <row r="23" spans="1:7" x14ac:dyDescent="0.25">
      <c r="A23" s="1"/>
      <c r="B23" s="1"/>
      <c r="C23" s="1" t="s">
        <v>7</v>
      </c>
      <c r="D23" s="132" t="s">
        <v>2</v>
      </c>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250" t="s">
        <v>8</v>
      </c>
      <c r="F26" s="250"/>
      <c r="G26" s="1"/>
    </row>
    <row r="27" spans="1:7" x14ac:dyDescent="0.25">
      <c r="A27" s="1"/>
      <c r="B27" s="1"/>
      <c r="C27" s="1"/>
      <c r="D27" s="1"/>
      <c r="E27" s="1"/>
      <c r="F27" s="1"/>
      <c r="G27" s="1"/>
    </row>
    <row r="28" spans="1:7" x14ac:dyDescent="0.25">
      <c r="A28" s="1"/>
      <c r="B28" s="1"/>
      <c r="C28" s="3" t="s">
        <v>9</v>
      </c>
      <c r="D28" s="1"/>
      <c r="E28" s="1"/>
      <c r="F28" s="1"/>
      <c r="G28" s="1"/>
    </row>
    <row r="29" spans="1:7" x14ac:dyDescent="0.25">
      <c r="A29" s="1"/>
      <c r="B29" s="1"/>
      <c r="C29" s="6" t="s">
        <v>10</v>
      </c>
      <c r="D29" s="7"/>
      <c r="E29" s="1"/>
      <c r="F29" s="1"/>
      <c r="G29" s="1"/>
    </row>
    <row r="30" spans="1:7" x14ac:dyDescent="0.25">
      <c r="A30" s="1"/>
      <c r="B30" s="1"/>
      <c r="C30" s="6" t="s">
        <v>11</v>
      </c>
      <c r="D30" s="8"/>
      <c r="E30" s="1"/>
      <c r="F30" s="1"/>
      <c r="G30" s="1"/>
    </row>
    <row r="31" spans="1:7" x14ac:dyDescent="0.25">
      <c r="A31" s="1"/>
      <c r="B31" s="1"/>
      <c r="C31" s="1"/>
      <c r="D31" s="1"/>
      <c r="E31" s="1"/>
      <c r="F31" s="1"/>
      <c r="G31" s="1"/>
    </row>
  </sheetData>
  <mergeCells count="4">
    <mergeCell ref="C3:F5"/>
    <mergeCell ref="E26:F26"/>
    <mergeCell ref="C8:F11"/>
    <mergeCell ref="C15:F16"/>
  </mergeCells>
  <conditionalFormatting sqref="D19:D23">
    <cfRule type="cellIs" dxfId="20" priority="1" operator="equal">
      <formula>"Nē"</formula>
    </cfRule>
    <cfRule type="cellIs" dxfId="19" priority="2" operator="equal">
      <formula>"JĀ"</formula>
    </cfRule>
  </conditionalFormatting>
  <dataValidations count="1">
    <dataValidation type="list" allowBlank="1" showInputMessage="1" showErrorMessage="1" sqref="D19:D23" xr:uid="{00000000-0002-0000-0000-000000000000}">
      <formula1>$H$5:$H$6</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R56"/>
  <sheetViews>
    <sheetView zoomScaleNormal="100" workbookViewId="0">
      <selection activeCell="J44" sqref="J44"/>
    </sheetView>
  </sheetViews>
  <sheetFormatPr defaultColWidth="0" defaultRowHeight="12" zeroHeight="1" outlineLevelRow="1" outlineLevelCol="1" x14ac:dyDescent="0.25"/>
  <cols>
    <col min="1" max="1" width="8.88671875" style="1" customWidth="1"/>
    <col min="2" max="2" width="20.6640625" style="1" customWidth="1" outlineLevel="1"/>
    <col min="3" max="3" width="13.6640625" style="1" customWidth="1" outlineLevel="1"/>
    <col min="4" max="4" width="3.6640625" style="1" customWidth="1"/>
    <col min="5" max="5" width="20.6640625" style="1" hidden="1" customWidth="1" outlineLevel="1"/>
    <col min="6" max="6" width="13.6640625" style="1" hidden="1" customWidth="1" outlineLevel="1"/>
    <col min="7" max="7" width="3.6640625" style="1" customWidth="1" collapsed="1"/>
    <col min="8" max="8" width="20.6640625" style="1" customWidth="1" outlineLevel="1"/>
    <col min="9" max="9" width="13.6640625" style="1" customWidth="1" outlineLevel="1"/>
    <col min="10" max="10" width="3.6640625" style="1" customWidth="1"/>
    <col min="11" max="11" width="20.6640625" style="1" hidden="1" customWidth="1" outlineLevel="1"/>
    <col min="12" max="12" width="13.6640625" style="1" hidden="1" customWidth="1" outlineLevel="1"/>
    <col min="13" max="13" width="3.6640625" style="1" customWidth="1" collapsed="1"/>
    <col min="14" max="14" width="20.6640625" style="1" hidden="1" customWidth="1" outlineLevel="1"/>
    <col min="15" max="15" width="13.6640625" style="1" hidden="1" customWidth="1" outlineLevel="1"/>
    <col min="16" max="16" width="3.6640625" style="1" customWidth="1" collapsed="1"/>
    <col min="17" max="17" width="6.88671875" style="1" customWidth="1"/>
    <col min="18" max="18" width="0" style="1" hidden="1" customWidth="1"/>
    <col min="19" max="16384" width="8.88671875" style="1" hidden="1"/>
  </cols>
  <sheetData>
    <row r="1" spans="2:18" x14ac:dyDescent="0.25"/>
    <row r="2" spans="2:18" ht="14.4" x14ac:dyDescent="0.3">
      <c r="B2" s="282" t="s">
        <v>227</v>
      </c>
      <c r="C2" s="282"/>
      <c r="D2" s="282"/>
      <c r="E2" s="282"/>
      <c r="F2" s="282"/>
      <c r="G2" s="282"/>
      <c r="H2" s="282"/>
      <c r="I2" s="282"/>
      <c r="J2" s="282"/>
      <c r="K2" s="282"/>
      <c r="L2" s="282"/>
      <c r="M2" s="282"/>
      <c r="N2" s="282"/>
      <c r="O2" s="282"/>
    </row>
    <row r="3" spans="2:18" x14ac:dyDescent="0.25"/>
    <row r="4" spans="2:18" hidden="1" outlineLevel="1" x14ac:dyDescent="0.25">
      <c r="B4" s="154" t="s">
        <v>228</v>
      </c>
      <c r="C4" s="153"/>
      <c r="D4" s="153"/>
      <c r="E4" s="153"/>
      <c r="F4" s="153"/>
      <c r="G4" s="153"/>
      <c r="H4" s="153"/>
      <c r="I4" s="153"/>
    </row>
    <row r="5" spans="2:18" hidden="1" outlineLevel="1" x14ac:dyDescent="0.25">
      <c r="B5" s="157">
        <v>-0.05</v>
      </c>
      <c r="C5" s="153"/>
      <c r="D5" s="153"/>
      <c r="E5" s="153"/>
      <c r="F5" s="153"/>
      <c r="G5" s="153"/>
      <c r="H5" s="153"/>
      <c r="I5" s="153"/>
    </row>
    <row r="6" spans="2:18" hidden="1" outlineLevel="1" x14ac:dyDescent="0.25">
      <c r="B6" s="157">
        <v>-0.01</v>
      </c>
      <c r="C6" s="153"/>
      <c r="D6" s="153"/>
      <c r="E6" s="153"/>
      <c r="F6" s="153"/>
      <c r="G6" s="153"/>
      <c r="H6" s="153"/>
      <c r="I6" s="153"/>
    </row>
    <row r="7" spans="2:18" hidden="1" outlineLevel="1" x14ac:dyDescent="0.25">
      <c r="B7" s="157">
        <v>0.01</v>
      </c>
      <c r="C7" s="153"/>
      <c r="D7" s="153"/>
      <c r="E7" s="153"/>
      <c r="F7" s="153"/>
      <c r="G7" s="153"/>
      <c r="H7" s="153"/>
      <c r="I7" s="153"/>
    </row>
    <row r="8" spans="2:18" hidden="1" outlineLevel="1" x14ac:dyDescent="0.25">
      <c r="B8" s="157">
        <v>0.05</v>
      </c>
    </row>
    <row r="9" spans="2:18" collapsed="1" x14ac:dyDescent="0.25">
      <c r="B9" s="153"/>
    </row>
    <row r="10" spans="2:18" ht="14.4" x14ac:dyDescent="0.25">
      <c r="B10" s="284" t="s">
        <v>234</v>
      </c>
      <c r="C10" s="284"/>
      <c r="D10" s="165"/>
      <c r="E10" s="284" t="s">
        <v>235</v>
      </c>
      <c r="F10" s="284"/>
      <c r="H10" s="284" t="s">
        <v>218</v>
      </c>
      <c r="I10" s="284"/>
      <c r="K10" s="284" t="s">
        <v>142</v>
      </c>
      <c r="L10" s="284"/>
      <c r="N10" s="284" t="s">
        <v>219</v>
      </c>
      <c r="O10" s="284"/>
    </row>
    <row r="11" spans="2:18" ht="14.4" x14ac:dyDescent="0.25">
      <c r="B11" s="284"/>
      <c r="C11" s="284"/>
      <c r="D11" s="165"/>
      <c r="E11" s="284"/>
      <c r="F11" s="284"/>
      <c r="H11" s="284"/>
      <c r="I11" s="284"/>
      <c r="K11" s="284"/>
      <c r="L11" s="284"/>
      <c r="N11" s="284"/>
      <c r="O11" s="284"/>
    </row>
    <row r="12" spans="2:18" x14ac:dyDescent="0.25"/>
    <row r="13" spans="2:18" x14ac:dyDescent="0.25">
      <c r="B13" s="283" t="s">
        <v>349</v>
      </c>
      <c r="C13" s="158" t="s">
        <v>350</v>
      </c>
      <c r="D13" s="166"/>
      <c r="E13" s="285" t="s">
        <v>232</v>
      </c>
      <c r="F13" s="158" t="s">
        <v>230</v>
      </c>
      <c r="H13" s="283" t="s">
        <v>349</v>
      </c>
      <c r="I13" s="158" t="s">
        <v>350</v>
      </c>
      <c r="K13" s="285" t="s">
        <v>229</v>
      </c>
      <c r="L13" s="158" t="s">
        <v>230</v>
      </c>
      <c r="N13" s="285" t="s">
        <v>229</v>
      </c>
      <c r="O13" s="158" t="s">
        <v>230</v>
      </c>
    </row>
    <row r="14" spans="2:18" x14ac:dyDescent="0.25">
      <c r="B14" s="283"/>
      <c r="C14" s="248">
        <f>NPV_Bāze_I!Q60</f>
        <v>5715888.7374689672</v>
      </c>
      <c r="D14" s="167"/>
      <c r="E14" s="285"/>
      <c r="F14" s="155"/>
      <c r="G14" s="137"/>
      <c r="H14" s="283"/>
      <c r="I14" s="248">
        <f>NPV_PPP_partnerība!Q68</f>
        <v>5602530.7437587455</v>
      </c>
      <c r="J14" s="137"/>
      <c r="K14" s="285"/>
      <c r="L14" s="155"/>
      <c r="M14" s="137"/>
      <c r="N14" s="285"/>
      <c r="O14" s="155"/>
      <c r="P14" s="137"/>
      <c r="Q14" s="137"/>
      <c r="R14" s="137"/>
    </row>
    <row r="15" spans="2:18" x14ac:dyDescent="0.25">
      <c r="B15" s="159">
        <v>-0.05</v>
      </c>
      <c r="C15" s="160">
        <v>5602785.8133853413</v>
      </c>
      <c r="D15" s="168"/>
      <c r="E15" s="159"/>
      <c r="F15" s="160"/>
      <c r="G15" s="137"/>
      <c r="H15" s="159">
        <v>-0.05</v>
      </c>
      <c r="I15" s="160">
        <v>5491440.0943606291</v>
      </c>
      <c r="J15" s="137"/>
      <c r="K15" s="159"/>
      <c r="L15" s="160"/>
      <c r="M15" s="137"/>
      <c r="N15" s="159"/>
      <c r="O15" s="160"/>
      <c r="P15" s="137"/>
      <c r="Q15" s="137"/>
      <c r="R15" s="137"/>
    </row>
    <row r="16" spans="2:18" x14ac:dyDescent="0.25">
      <c r="B16" s="156" t="s">
        <v>231</v>
      </c>
      <c r="C16" s="162">
        <f>IFERROR((C15-C14)/C14,"-")</f>
        <v>-1.9787460756926598E-2</v>
      </c>
      <c r="D16" s="169"/>
      <c r="E16" s="156" t="s">
        <v>231</v>
      </c>
      <c r="F16" s="162" t="str">
        <f>IFERROR((F15-F14)/F14,"-")</f>
        <v>-</v>
      </c>
      <c r="G16" s="137"/>
      <c r="H16" s="156" t="s">
        <v>231</v>
      </c>
      <c r="I16" s="162">
        <f>IFERROR((I15-I14)/I14,"-")</f>
        <v>-1.9828655027350289E-2</v>
      </c>
      <c r="J16" s="137"/>
      <c r="K16" s="156" t="s">
        <v>231</v>
      </c>
      <c r="L16" s="162" t="str">
        <f>IFERROR((L15-L14)/L14,"-")</f>
        <v>-</v>
      </c>
      <c r="M16" s="137"/>
      <c r="N16" s="156" t="s">
        <v>231</v>
      </c>
      <c r="O16" s="162" t="str">
        <f>IFERROR((O15-O14)/O14,"-")</f>
        <v>-</v>
      </c>
      <c r="P16" s="137"/>
      <c r="Q16" s="137"/>
      <c r="R16" s="137"/>
    </row>
    <row r="17" spans="2:18" x14ac:dyDescent="0.25">
      <c r="B17" s="159">
        <v>-0.01</v>
      </c>
      <c r="C17" s="160">
        <v>5693268.1526522432</v>
      </c>
      <c r="D17" s="168"/>
      <c r="E17" s="159"/>
      <c r="F17" s="160"/>
      <c r="G17" s="137"/>
      <c r="H17" s="159">
        <v>-0.01</v>
      </c>
      <c r="I17" s="160">
        <v>5580312.6138791209</v>
      </c>
      <c r="J17" s="137"/>
      <c r="K17" s="159"/>
      <c r="L17" s="160"/>
      <c r="M17" s="137"/>
      <c r="N17" s="159"/>
      <c r="O17" s="160"/>
      <c r="P17" s="137"/>
      <c r="Q17" s="137"/>
      <c r="R17" s="137"/>
    </row>
    <row r="18" spans="2:18" x14ac:dyDescent="0.25">
      <c r="B18" s="156" t="s">
        <v>231</v>
      </c>
      <c r="C18" s="162">
        <f>IFERROR((C17-C14)/C14,"-")</f>
        <v>-3.957492151385124E-3</v>
      </c>
      <c r="D18" s="169"/>
      <c r="E18" s="156" t="s">
        <v>231</v>
      </c>
      <c r="F18" s="162" t="str">
        <f>IFERROR((F17-F14)/F14,"-")</f>
        <v>-</v>
      </c>
      <c r="G18" s="137"/>
      <c r="H18" s="156" t="s">
        <v>231</v>
      </c>
      <c r="I18" s="162">
        <f>IFERROR((I17-I14)/I14,"-")</f>
        <v>-3.9657310054702901E-3</v>
      </c>
      <c r="J18" s="137"/>
      <c r="K18" s="156" t="s">
        <v>231</v>
      </c>
      <c r="L18" s="162" t="str">
        <f>IFERROR((L17-L14)/L14,"-")</f>
        <v>-</v>
      </c>
      <c r="M18" s="137"/>
      <c r="N18" s="156" t="s">
        <v>231</v>
      </c>
      <c r="O18" s="162" t="str">
        <f>IFERROR((O17-O14)/O14,"-")</f>
        <v>-</v>
      </c>
      <c r="P18" s="137"/>
      <c r="Q18" s="137"/>
      <c r="R18" s="137"/>
    </row>
    <row r="19" spans="2:18" x14ac:dyDescent="0.25">
      <c r="B19" s="159">
        <v>0.01</v>
      </c>
      <c r="C19" s="160">
        <v>5738509.3222856941</v>
      </c>
      <c r="D19" s="168"/>
      <c r="E19" s="159"/>
      <c r="F19" s="160"/>
      <c r="G19" s="137"/>
      <c r="H19" s="159">
        <v>0.01</v>
      </c>
      <c r="I19" s="160">
        <v>5624748.8736383691</v>
      </c>
      <c r="J19" s="137"/>
      <c r="K19" s="159"/>
      <c r="L19" s="160"/>
      <c r="M19" s="137"/>
      <c r="N19" s="159"/>
      <c r="O19" s="160"/>
      <c r="P19" s="137"/>
      <c r="Q19" s="137"/>
      <c r="R19" s="137"/>
    </row>
    <row r="20" spans="2:18" x14ac:dyDescent="0.25">
      <c r="B20" s="156" t="s">
        <v>231</v>
      </c>
      <c r="C20" s="162">
        <f>IFERROR((C19-C14)/C14,"-")</f>
        <v>3.9574921513856123E-3</v>
      </c>
      <c r="D20" s="169"/>
      <c r="E20" s="156" t="s">
        <v>231</v>
      </c>
      <c r="F20" s="162" t="str">
        <f>IFERROR((F19-F14)/F14,"-")</f>
        <v>-</v>
      </c>
      <c r="G20" s="137"/>
      <c r="H20" s="156" t="s">
        <v>231</v>
      </c>
      <c r="I20" s="162">
        <f>IFERROR((I19-I14)/I14,"-")</f>
        <v>3.9657310054701236E-3</v>
      </c>
      <c r="J20" s="137"/>
      <c r="K20" s="156" t="s">
        <v>231</v>
      </c>
      <c r="L20" s="162" t="str">
        <f>IFERROR((L19-L14)/L14,"-")</f>
        <v>-</v>
      </c>
      <c r="M20" s="137"/>
      <c r="N20" s="156" t="s">
        <v>231</v>
      </c>
      <c r="O20" s="162" t="str">
        <f>IFERROR((O19-O14)/O14,"-")</f>
        <v>-</v>
      </c>
      <c r="P20" s="137"/>
      <c r="Q20" s="137"/>
      <c r="R20" s="137"/>
    </row>
    <row r="21" spans="2:18" x14ac:dyDescent="0.25">
      <c r="B21" s="159">
        <v>0.05</v>
      </c>
      <c r="C21" s="160">
        <v>5828991.661552595</v>
      </c>
      <c r="D21" s="168"/>
      <c r="E21" s="159"/>
      <c r="F21" s="160"/>
      <c r="G21" s="137"/>
      <c r="H21" s="159">
        <v>0.05</v>
      </c>
      <c r="I21" s="160">
        <v>5713621.393156861</v>
      </c>
      <c r="J21" s="137"/>
      <c r="K21" s="159"/>
      <c r="L21" s="160"/>
      <c r="M21" s="137"/>
      <c r="N21" s="159"/>
      <c r="O21" s="160"/>
      <c r="P21" s="137"/>
      <c r="Q21" s="137"/>
      <c r="R21" s="137"/>
    </row>
    <row r="22" spans="2:18" x14ac:dyDescent="0.25">
      <c r="B22" s="156" t="s">
        <v>231</v>
      </c>
      <c r="C22" s="162">
        <f>IFERROR((C21-C14)/C14,"-")</f>
        <v>1.9787460756926924E-2</v>
      </c>
      <c r="D22" s="169"/>
      <c r="E22" s="156" t="s">
        <v>231</v>
      </c>
      <c r="F22" s="162" t="str">
        <f>IFERROR((F21-F14)/F14,"-")</f>
        <v>-</v>
      </c>
      <c r="G22" s="137"/>
      <c r="H22" s="156" t="s">
        <v>231</v>
      </c>
      <c r="I22" s="162">
        <f>IFERROR((I21-I14)/I14,"-")</f>
        <v>1.9828655027350123E-2</v>
      </c>
      <c r="J22" s="137"/>
      <c r="K22" s="156" t="s">
        <v>231</v>
      </c>
      <c r="L22" s="162" t="str">
        <f>IFERROR((L21-L14)/L14,"-")</f>
        <v>-</v>
      </c>
      <c r="M22" s="137"/>
      <c r="N22" s="156" t="s">
        <v>231</v>
      </c>
      <c r="O22" s="162" t="str">
        <f>IFERROR((O21-O14)/O14,"-")</f>
        <v>-</v>
      </c>
      <c r="P22" s="137"/>
      <c r="Q22" s="137"/>
      <c r="R22" s="137"/>
    </row>
    <row r="23" spans="2:18" x14ac:dyDescent="0.25">
      <c r="B23" s="137"/>
      <c r="C23" s="137"/>
      <c r="D23" s="137"/>
      <c r="E23" s="137"/>
      <c r="F23" s="137"/>
      <c r="G23" s="137"/>
      <c r="H23" s="137"/>
      <c r="I23" s="137"/>
      <c r="J23" s="137"/>
      <c r="K23" s="137"/>
      <c r="L23" s="137"/>
      <c r="M23" s="137"/>
      <c r="N23" s="137"/>
      <c r="O23" s="137"/>
      <c r="P23" s="137"/>
      <c r="Q23" s="137"/>
      <c r="R23" s="137"/>
    </row>
    <row r="24" spans="2:18" ht="12" customHeight="1" x14ac:dyDescent="0.25">
      <c r="B24" s="284" t="s">
        <v>234</v>
      </c>
      <c r="C24" s="284"/>
      <c r="D24" s="137"/>
      <c r="E24" s="137"/>
      <c r="F24" s="137"/>
      <c r="G24" s="137"/>
      <c r="H24" s="284" t="s">
        <v>218</v>
      </c>
      <c r="I24" s="284"/>
      <c r="J24" s="137"/>
      <c r="K24" s="137"/>
      <c r="L24" s="137"/>
      <c r="M24" s="137"/>
      <c r="N24" s="137"/>
      <c r="O24" s="137"/>
      <c r="P24" s="137"/>
      <c r="Q24" s="137"/>
      <c r="R24" s="137"/>
    </row>
    <row r="25" spans="2:18" ht="12" customHeight="1" x14ac:dyDescent="0.25">
      <c r="B25" s="284"/>
      <c r="C25" s="284"/>
      <c r="D25" s="137"/>
      <c r="E25" s="137"/>
      <c r="F25" s="137"/>
      <c r="G25" s="137"/>
      <c r="H25" s="284"/>
      <c r="I25" s="284"/>
      <c r="J25" s="137"/>
      <c r="K25" s="137"/>
      <c r="L25" s="137"/>
      <c r="M25" s="137"/>
      <c r="N25" s="137"/>
      <c r="O25" s="137"/>
      <c r="P25" s="137"/>
      <c r="Q25" s="137"/>
      <c r="R25" s="137"/>
    </row>
    <row r="26" spans="2:18" x14ac:dyDescent="0.25">
      <c r="D26" s="137"/>
      <c r="E26" s="137"/>
      <c r="F26" s="137"/>
      <c r="G26" s="137"/>
      <c r="J26" s="137"/>
      <c r="K26" s="137"/>
      <c r="L26" s="137"/>
      <c r="M26" s="137"/>
      <c r="N26" s="137"/>
      <c r="O26" s="137"/>
      <c r="P26" s="137"/>
      <c r="Q26" s="137"/>
      <c r="R26" s="137"/>
    </row>
    <row r="27" spans="2:18" ht="12" customHeight="1" x14ac:dyDescent="0.25">
      <c r="B27" s="283" t="s">
        <v>351</v>
      </c>
      <c r="C27" s="158" t="s">
        <v>350</v>
      </c>
      <c r="D27" s="137"/>
      <c r="E27" s="137"/>
      <c r="F27" s="137"/>
      <c r="G27" s="137"/>
      <c r="H27" s="283" t="s">
        <v>351</v>
      </c>
      <c r="I27" s="158" t="s">
        <v>350</v>
      </c>
      <c r="J27" s="137"/>
      <c r="K27" s="137"/>
      <c r="L27" s="137"/>
      <c r="M27" s="137"/>
      <c r="N27" s="137"/>
      <c r="O27" s="137"/>
      <c r="P27" s="137"/>
      <c r="Q27" s="137"/>
      <c r="R27" s="137"/>
    </row>
    <row r="28" spans="2:18" x14ac:dyDescent="0.25">
      <c r="B28" s="283"/>
      <c r="C28" s="248">
        <f>NPV_Bāze_I!Q60</f>
        <v>5715888.7374689672</v>
      </c>
      <c r="D28" s="137"/>
      <c r="E28" s="137"/>
      <c r="F28" s="137"/>
      <c r="G28" s="137"/>
      <c r="H28" s="283"/>
      <c r="I28" s="248">
        <f>NPV_PPP_partnerība!Q68</f>
        <v>5602530.7437587455</v>
      </c>
      <c r="J28" s="137"/>
      <c r="K28" s="137"/>
      <c r="L28" s="137"/>
      <c r="M28" s="137"/>
      <c r="N28" s="137"/>
      <c r="O28" s="137"/>
      <c r="P28" s="137"/>
      <c r="Q28" s="137"/>
      <c r="R28" s="137"/>
    </row>
    <row r="29" spans="2:18" x14ac:dyDescent="0.25">
      <c r="B29" s="159">
        <v>-0.05</v>
      </c>
      <c r="C29" s="160">
        <v>5711431.5838764384</v>
      </c>
      <c r="D29" s="137"/>
      <c r="E29" s="137"/>
      <c r="F29" s="137"/>
      <c r="G29" s="137"/>
      <c r="H29" s="159">
        <v>-0.05</v>
      </c>
      <c r="I29" s="160">
        <v>5598073.5901662167</v>
      </c>
      <c r="J29" s="137"/>
      <c r="K29" s="137"/>
      <c r="L29" s="137"/>
      <c r="M29" s="137"/>
      <c r="N29" s="137"/>
      <c r="O29" s="137"/>
      <c r="P29" s="137"/>
      <c r="Q29" s="137"/>
      <c r="R29" s="137"/>
    </row>
    <row r="30" spans="2:18" x14ac:dyDescent="0.25">
      <c r="B30" s="156" t="s">
        <v>231</v>
      </c>
      <c r="C30" s="162">
        <f>IFERROR((C29-C28)/C28,"-")</f>
        <v>-7.7978312686723713E-4</v>
      </c>
      <c r="D30" s="137"/>
      <c r="E30" s="137"/>
      <c r="F30" s="137"/>
      <c r="G30" s="137"/>
      <c r="H30" s="156" t="s">
        <v>231</v>
      </c>
      <c r="I30" s="162">
        <f>IFERROR((I29-I28)/I28,"-")</f>
        <v>-7.955607557341961E-4</v>
      </c>
      <c r="J30" s="137"/>
      <c r="K30" s="137"/>
      <c r="L30" s="137"/>
      <c r="M30" s="137"/>
      <c r="N30" s="137"/>
      <c r="O30" s="137"/>
      <c r="P30" s="137"/>
      <c r="Q30" s="137"/>
      <c r="R30" s="137"/>
    </row>
    <row r="31" spans="2:18" x14ac:dyDescent="0.25">
      <c r="B31" s="159">
        <v>-0.01</v>
      </c>
      <c r="C31" s="160">
        <v>5714996.620754227</v>
      </c>
      <c r="H31" s="159">
        <v>-0.01</v>
      </c>
      <c r="I31" s="160">
        <v>5601638.6270440035</v>
      </c>
    </row>
    <row r="32" spans="2:18" x14ac:dyDescent="0.25">
      <c r="B32" s="156" t="s">
        <v>231</v>
      </c>
      <c r="C32" s="162">
        <f>IFERROR((C31-C28)/C28,"-")</f>
        <v>-1.5607664104658677E-4</v>
      </c>
      <c r="H32" s="156" t="s">
        <v>231</v>
      </c>
      <c r="I32" s="162">
        <f>IFERROR((I31-I28)/I28,"-")</f>
        <v>-1.5923459514003709E-4</v>
      </c>
    </row>
    <row r="33" spans="2:9" x14ac:dyDescent="0.25">
      <c r="B33" s="159">
        <v>0.01</v>
      </c>
      <c r="C33" s="160">
        <v>5716781.197896217</v>
      </c>
      <c r="H33" s="159">
        <v>0.01</v>
      </c>
      <c r="I33" s="160">
        <v>5603423.2041859925</v>
      </c>
    </row>
    <row r="34" spans="2:9" x14ac:dyDescent="0.25">
      <c r="B34" s="156" t="s">
        <v>231</v>
      </c>
      <c r="C34" s="162">
        <f>IFERROR((C33-C28)/C28,"-")</f>
        <v>1.5613677386676513E-4</v>
      </c>
      <c r="H34" s="156" t="s">
        <v>231</v>
      </c>
      <c r="I34" s="162">
        <f>IFERROR((I33-I28)/I28,"-")</f>
        <v>1.5929594464808504E-4</v>
      </c>
    </row>
    <row r="35" spans="2:9" x14ac:dyDescent="0.25">
      <c r="B35" s="159">
        <v>0.05</v>
      </c>
      <c r="C35" s="160">
        <v>5720354.483891122</v>
      </c>
      <c r="H35" s="159">
        <v>0.05</v>
      </c>
      <c r="I35" s="160">
        <v>5606996.4901808994</v>
      </c>
    </row>
    <row r="36" spans="2:9" x14ac:dyDescent="0.25">
      <c r="B36" s="156" t="s">
        <v>231</v>
      </c>
      <c r="C36" s="162">
        <f>IFERROR((C35-C28)/C28,"-")</f>
        <v>7.8128645032588418E-4</v>
      </c>
      <c r="H36" s="156" t="s">
        <v>231</v>
      </c>
      <c r="I36" s="162">
        <f>IFERROR((I35-I28)/I28,"-")</f>
        <v>7.970944964699689E-4</v>
      </c>
    </row>
    <row r="37" spans="2:9" x14ac:dyDescent="0.25"/>
    <row r="38" spans="2:9" x14ac:dyDescent="0.25">
      <c r="B38" s="284" t="s">
        <v>234</v>
      </c>
      <c r="C38" s="284"/>
      <c r="D38" s="137"/>
      <c r="E38" s="137"/>
      <c r="F38" s="137"/>
      <c r="G38" s="137"/>
      <c r="H38" s="284" t="s">
        <v>218</v>
      </c>
      <c r="I38" s="284"/>
    </row>
    <row r="39" spans="2:9" x14ac:dyDescent="0.25">
      <c r="B39" s="284"/>
      <c r="C39" s="284"/>
      <c r="D39" s="137"/>
      <c r="E39" s="137"/>
      <c r="F39" s="137"/>
      <c r="G39" s="137"/>
      <c r="H39" s="284"/>
      <c r="I39" s="284"/>
    </row>
    <row r="40" spans="2:9" x14ac:dyDescent="0.25">
      <c r="D40" s="137"/>
      <c r="E40" s="137"/>
      <c r="F40" s="137"/>
      <c r="G40" s="137"/>
    </row>
    <row r="41" spans="2:9" x14ac:dyDescent="0.25">
      <c r="B41" s="283" t="s">
        <v>353</v>
      </c>
      <c r="C41" s="158" t="s">
        <v>350</v>
      </c>
      <c r="D41" s="137"/>
      <c r="E41" s="137"/>
      <c r="F41" s="137"/>
      <c r="G41" s="137"/>
      <c r="H41" s="283" t="s">
        <v>353</v>
      </c>
      <c r="I41" s="158" t="s">
        <v>350</v>
      </c>
    </row>
    <row r="42" spans="2:9" x14ac:dyDescent="0.25">
      <c r="B42" s="283"/>
      <c r="C42" s="248">
        <f>NPV_Bāze_I!Q60</f>
        <v>5715888.7374689672</v>
      </c>
      <c r="D42" s="137"/>
      <c r="E42" s="137"/>
      <c r="F42" s="137"/>
      <c r="G42" s="137"/>
      <c r="H42" s="283"/>
      <c r="I42" s="248">
        <f>NPV_PPP_partnerība!Q68</f>
        <v>5602530.7437587455</v>
      </c>
    </row>
    <row r="43" spans="2:9" x14ac:dyDescent="0.25">
      <c r="B43" s="159">
        <v>-0.05</v>
      </c>
      <c r="C43" s="160">
        <v>5660149.1873568911</v>
      </c>
      <c r="D43" s="137"/>
      <c r="E43" s="137"/>
      <c r="F43" s="137"/>
      <c r="G43" s="137"/>
      <c r="H43" s="159">
        <v>-0.05</v>
      </c>
      <c r="I43" s="160">
        <v>5549946.8186466675</v>
      </c>
    </row>
    <row r="44" spans="2:9" x14ac:dyDescent="0.25">
      <c r="B44" s="156" t="s">
        <v>231</v>
      </c>
      <c r="C44" s="162">
        <f>IFERROR((C43-C42)/C42,"-")</f>
        <v>-9.7516856384363311E-3</v>
      </c>
      <c r="D44" s="137"/>
      <c r="E44" s="137"/>
      <c r="F44" s="137"/>
      <c r="G44" s="137"/>
      <c r="H44" s="156" t="s">
        <v>231</v>
      </c>
      <c r="I44" s="162">
        <f>IFERROR((I43-I42)/I42,"-")</f>
        <v>-9.385745035073086E-3</v>
      </c>
    </row>
    <row r="45" spans="2:9" x14ac:dyDescent="0.25">
      <c r="B45" s="159">
        <v>-0.01</v>
      </c>
      <c r="C45" s="160">
        <v>5704740.8274465529</v>
      </c>
      <c r="H45" s="159">
        <v>-0.01</v>
      </c>
      <c r="I45" s="160">
        <v>5592013.9587363303</v>
      </c>
    </row>
    <row r="46" spans="2:9" x14ac:dyDescent="0.25">
      <c r="B46" s="156" t="s">
        <v>231</v>
      </c>
      <c r="C46" s="162">
        <f>IFERROR((C45-C42)/C42,"-")</f>
        <v>-1.9503371276871034E-3</v>
      </c>
      <c r="H46" s="156" t="s">
        <v>231</v>
      </c>
      <c r="I46" s="162">
        <f>IFERROR((I45-I42)/I42,"-")</f>
        <v>-1.8771490070145507E-3</v>
      </c>
    </row>
    <row r="47" spans="2:9" x14ac:dyDescent="0.25">
      <c r="B47" s="159">
        <v>0.01</v>
      </c>
      <c r="C47" s="160">
        <v>5727036.6474913843</v>
      </c>
      <c r="H47" s="159">
        <v>0.01</v>
      </c>
      <c r="I47" s="160">
        <v>5613047.5287811598</v>
      </c>
    </row>
    <row r="48" spans="2:9" x14ac:dyDescent="0.25">
      <c r="B48" s="156" t="s">
        <v>231</v>
      </c>
      <c r="C48" s="162">
        <f>IFERROR((C47-C42)/C42,"-")</f>
        <v>1.9503371276875922E-3</v>
      </c>
      <c r="H48" s="156" t="s">
        <v>231</v>
      </c>
      <c r="I48" s="162">
        <f>IFERROR((I47-I42)/I42,"-")</f>
        <v>1.8771490070143843E-3</v>
      </c>
    </row>
    <row r="49" spans="2:9" x14ac:dyDescent="0.25">
      <c r="B49" s="159">
        <v>0.05</v>
      </c>
      <c r="C49" s="160">
        <v>5771628.2875810452</v>
      </c>
      <c r="H49" s="159">
        <v>0.05</v>
      </c>
      <c r="I49" s="160">
        <v>5655114.6688708216</v>
      </c>
    </row>
    <row r="50" spans="2:9" x14ac:dyDescent="0.25">
      <c r="B50" s="156" t="s">
        <v>231</v>
      </c>
      <c r="C50" s="162">
        <f>IFERROR((C49-C42)/C42,"-")</f>
        <v>9.7516856384366572E-3</v>
      </c>
      <c r="H50" s="156" t="s">
        <v>231</v>
      </c>
      <c r="I50" s="162">
        <f>IFERROR((I49-I42)/I42,"-")</f>
        <v>9.3857450350727529E-3</v>
      </c>
    </row>
    <row r="51" spans="2:9" x14ac:dyDescent="0.25"/>
    <row r="52" spans="2:9" x14ac:dyDescent="0.25"/>
    <row r="53" spans="2:9" x14ac:dyDescent="0.25"/>
    <row r="54" spans="2:9" x14ac:dyDescent="0.25"/>
    <row r="55" spans="2:9" x14ac:dyDescent="0.25"/>
    <row r="56" spans="2:9" x14ac:dyDescent="0.25"/>
  </sheetData>
  <mergeCells count="19">
    <mergeCell ref="B13:B14"/>
    <mergeCell ref="B10:C11"/>
    <mergeCell ref="H10:I11"/>
    <mergeCell ref="H13:H14"/>
    <mergeCell ref="B2:O2"/>
    <mergeCell ref="K10:L11"/>
    <mergeCell ref="K13:K14"/>
    <mergeCell ref="N10:O11"/>
    <mergeCell ref="N13:N14"/>
    <mergeCell ref="E10:F11"/>
    <mergeCell ref="E13:E14"/>
    <mergeCell ref="B41:B42"/>
    <mergeCell ref="H41:H42"/>
    <mergeCell ref="B24:C25"/>
    <mergeCell ref="B27:B28"/>
    <mergeCell ref="H24:I25"/>
    <mergeCell ref="H27:H28"/>
    <mergeCell ref="B38:C39"/>
    <mergeCell ref="H38:I39"/>
  </mergeCells>
  <dataValidations count="1">
    <dataValidation type="list" allowBlank="1" showInputMessage="1" showErrorMessage="1" sqref="B15 B17 B19 B21 H15 H17 H19 H21 K15 K17 K19 K21 N15 N17 N19 N21 E15 E17 E19 E21 B29 B31 B33 B35 H29 H31 H33 H35 B43 B45 B47 B49 H43 H45 H47 H49" xr:uid="{00000000-0002-0000-0800-000000000000}">
      <formula1>$B$5:$B$8</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pageSetUpPr fitToPage="1"/>
  </sheetPr>
  <dimension ref="A1:I52"/>
  <sheetViews>
    <sheetView workbookViewId="0">
      <selection activeCell="E19" sqref="E19"/>
    </sheetView>
  </sheetViews>
  <sheetFormatPr defaultColWidth="0" defaultRowHeight="12" zeroHeight="1" x14ac:dyDescent="0.25"/>
  <cols>
    <col min="1" max="1" width="8.88671875" style="1" customWidth="1"/>
    <col min="2" max="2" width="21.77734375" style="1" bestFit="1" customWidth="1"/>
    <col min="3" max="3" width="33.77734375" style="1" bestFit="1" customWidth="1"/>
    <col min="4" max="4" width="11" style="1" bestFit="1" customWidth="1"/>
    <col min="5" max="5" width="21.77734375" style="1" bestFit="1" customWidth="1"/>
    <col min="6" max="6" width="26.6640625" style="1" bestFit="1" customWidth="1"/>
    <col min="7" max="7" width="26.6640625" style="1" customWidth="1"/>
    <col min="8" max="8" width="20.5546875" style="1" customWidth="1"/>
    <col min="9" max="9" width="8.88671875" style="1" customWidth="1"/>
    <col min="10" max="16384" width="8.88671875" style="1" hidden="1"/>
  </cols>
  <sheetData>
    <row r="1" spans="2:8" x14ac:dyDescent="0.25"/>
    <row r="2" spans="2:8" ht="14.4" x14ac:dyDescent="0.3">
      <c r="B2" s="278" t="s">
        <v>136</v>
      </c>
      <c r="C2" s="278"/>
      <c r="D2" s="278"/>
      <c r="E2" s="278"/>
      <c r="F2" s="278"/>
      <c r="G2" s="278"/>
      <c r="H2" s="278"/>
    </row>
    <row r="3" spans="2:8" x14ac:dyDescent="0.25"/>
    <row r="4" spans="2:8" x14ac:dyDescent="0.25">
      <c r="B4" s="262"/>
      <c r="C4" s="262"/>
      <c r="D4" s="262"/>
      <c r="E4" s="262"/>
      <c r="F4" s="262"/>
      <c r="G4" s="262"/>
      <c r="H4" s="262"/>
    </row>
    <row r="5" spans="2:8" ht="45.6" x14ac:dyDescent="0.25">
      <c r="B5" s="122" t="s">
        <v>145</v>
      </c>
      <c r="C5" s="43" t="s">
        <v>138</v>
      </c>
      <c r="D5" s="43" t="s">
        <v>139</v>
      </c>
      <c r="E5" s="43" t="s">
        <v>140</v>
      </c>
      <c r="F5" s="43" t="s">
        <v>257</v>
      </c>
      <c r="G5" s="43" t="s">
        <v>258</v>
      </c>
      <c r="H5" s="44" t="s">
        <v>146</v>
      </c>
    </row>
    <row r="6" spans="2:8" x14ac:dyDescent="0.25">
      <c r="B6" s="42" t="s">
        <v>234</v>
      </c>
      <c r="C6" s="119">
        <f>NPV_Bāze_I!E44</f>
        <v>-3908599.9507804578</v>
      </c>
      <c r="D6" s="119">
        <f>NPV_Bāze_I!E53</f>
        <v>-95363.035000712451</v>
      </c>
      <c r="E6" s="119">
        <f>NPV_Bāze_I!E58</f>
        <v>-4003962.9857811704</v>
      </c>
      <c r="F6" s="119" t="s">
        <v>144</v>
      </c>
      <c r="G6" s="119" t="s">
        <v>144</v>
      </c>
      <c r="H6" s="120">
        <f>NPV_Bāze_I!Q60</f>
        <v>5715888.7374689672</v>
      </c>
    </row>
    <row r="7" spans="2:8" x14ac:dyDescent="0.25">
      <c r="B7" s="42" t="s">
        <v>235</v>
      </c>
      <c r="C7" s="119">
        <f>NPV_Bāze_II!E44</f>
        <v>0</v>
      </c>
      <c r="D7" s="119">
        <f>NPV_Bāze_II!E53</f>
        <v>0</v>
      </c>
      <c r="E7" s="119">
        <f>NPV_Bāze_II!E58</f>
        <v>0</v>
      </c>
      <c r="F7" s="119" t="s">
        <v>144</v>
      </c>
      <c r="G7" s="119" t="s">
        <v>144</v>
      </c>
      <c r="H7" s="120">
        <f>NPV_Bāze_II!Q60</f>
        <v>0</v>
      </c>
    </row>
    <row r="8" spans="2:8" x14ac:dyDescent="0.25">
      <c r="B8" s="42" t="s">
        <v>141</v>
      </c>
      <c r="C8" s="119">
        <f>NPV_PPP_partnerība!E52</f>
        <v>-3932583.6096832789</v>
      </c>
      <c r="D8" s="119">
        <f>NPV_PPP_partnerība!E61</f>
        <v>-11195.416903505204</v>
      </c>
      <c r="E8" s="119">
        <f>IF(NPV_PPP_partnerība!E66=0,"N/A",NPV_PPP_partnerība!E66)</f>
        <v>-3943779.026586784</v>
      </c>
      <c r="F8" s="119">
        <f>IFERROR(E8-$E$6,"N/A")</f>
        <v>60183.959194386378</v>
      </c>
      <c r="G8" s="119" t="str">
        <f>IF(NPV_Bāze_II!$E$2="NEAIZPILDĪT","N/A",IFERROR(E8-$E$7,"N/A"))</f>
        <v>N/A</v>
      </c>
      <c r="H8" s="120">
        <f>NPV_PPP_partnerība!Q68</f>
        <v>5602530.7437587455</v>
      </c>
    </row>
    <row r="9" spans="2:8" x14ac:dyDescent="0.25">
      <c r="B9" s="42" t="s">
        <v>142</v>
      </c>
      <c r="C9" s="119">
        <f>NPV_PPP_koncesija!E55</f>
        <v>0</v>
      </c>
      <c r="D9" s="119">
        <f>NPV_PPP_koncesija!E64</f>
        <v>0</v>
      </c>
      <c r="E9" s="119" t="str">
        <f>IF(NPV_PPP_koncesija!E69=0,"N/A",NPV_PPP_koncesija!E69)</f>
        <v>N/A</v>
      </c>
      <c r="F9" s="119" t="str">
        <f t="shared" ref="F9:F10" si="0">IFERROR(E9-$E$6,"N/A")</f>
        <v>N/A</v>
      </c>
      <c r="G9" s="119" t="str">
        <f>IF(NPV_Bāze_II!$E$2="NEAIZPILDĪT","N/A",IFERROR(E9-$E$7,"N/A"))</f>
        <v>N/A</v>
      </c>
      <c r="H9" s="120">
        <f>NPV_PPP_koncesija!Q71</f>
        <v>0</v>
      </c>
    </row>
    <row r="10" spans="2:8" x14ac:dyDescent="0.25">
      <c r="B10" s="42" t="s">
        <v>143</v>
      </c>
      <c r="C10" s="119">
        <f>NPV_PPP_institucionālā!E103</f>
        <v>0</v>
      </c>
      <c r="D10" s="119">
        <f>NPV_PPP_institucionālā!E112</f>
        <v>0</v>
      </c>
      <c r="E10" s="119" t="str">
        <f>IF(NPV_PPP_institucionālā!E117=0,"N/A",NPV_PPP_institucionālā!E117)</f>
        <v>N/A</v>
      </c>
      <c r="F10" s="119" t="str">
        <f t="shared" si="0"/>
        <v>N/A</v>
      </c>
      <c r="G10" s="119" t="str">
        <f>IF(NPV_Bāze_II!$E$2="NEAIZPILDĪT","N/A",IFERROR(E10-$E$7,"N/A"))</f>
        <v>N/A</v>
      </c>
      <c r="H10" s="120">
        <f>NPV_PPP_institucionālā!Q119</f>
        <v>0</v>
      </c>
    </row>
    <row r="11" spans="2:8" x14ac:dyDescent="0.25"/>
    <row r="12" spans="2:8" x14ac:dyDescent="0.25"/>
    <row r="13" spans="2:8" x14ac:dyDescent="0.25"/>
    <row r="14" spans="2:8" ht="14.4" x14ac:dyDescent="0.3">
      <c r="B14" s="172"/>
      <c r="C14" s="172"/>
      <c r="E14" s="172"/>
      <c r="F14" s="172"/>
      <c r="G14" s="172"/>
    </row>
    <row r="15" spans="2:8" x14ac:dyDescent="0.25"/>
    <row r="16" spans="2:8" ht="14.4" x14ac:dyDescent="0.3">
      <c r="B16" s="172"/>
      <c r="C16" s="172"/>
      <c r="D16" s="172"/>
      <c r="E16" s="172"/>
      <c r="F16" s="172"/>
      <c r="G16" s="172"/>
      <c r="H16" s="172"/>
    </row>
    <row r="17" spans="2:8" ht="14.4" x14ac:dyDescent="0.3">
      <c r="B17" s="172"/>
      <c r="C17" s="172"/>
      <c r="D17" s="172"/>
      <c r="E17" s="172"/>
      <c r="F17" s="172"/>
      <c r="G17" s="173"/>
      <c r="H17" s="172"/>
    </row>
    <row r="18" spans="2:8" ht="14.4" x14ac:dyDescent="0.3">
      <c r="B18" s="172"/>
      <c r="C18" s="172"/>
      <c r="D18" s="172"/>
      <c r="E18" s="172"/>
      <c r="F18" s="172"/>
      <c r="G18" s="173"/>
      <c r="H18" s="172"/>
    </row>
    <row r="19" spans="2:8" ht="14.4" x14ac:dyDescent="0.3">
      <c r="B19" s="172"/>
      <c r="C19" s="172"/>
      <c r="D19" s="172"/>
      <c r="E19" s="172"/>
      <c r="F19" s="172"/>
      <c r="G19" s="173"/>
      <c r="H19" s="172"/>
    </row>
    <row r="20" spans="2:8" ht="14.4" x14ac:dyDescent="0.3">
      <c r="B20" s="172"/>
      <c r="C20" s="172"/>
      <c r="D20" s="172"/>
      <c r="E20" s="172"/>
      <c r="F20" s="172"/>
      <c r="G20" s="173"/>
      <c r="H20" s="172"/>
    </row>
    <row r="21" spans="2:8" ht="14.4" x14ac:dyDescent="0.3">
      <c r="B21" s="172"/>
      <c r="C21" s="172"/>
      <c r="D21" s="172"/>
      <c r="E21" s="172"/>
      <c r="F21" s="172"/>
      <c r="G21" s="173"/>
      <c r="H21" s="172"/>
    </row>
    <row r="22" spans="2:8" ht="14.4" x14ac:dyDescent="0.3">
      <c r="B22" s="172"/>
      <c r="C22" s="172"/>
      <c r="D22" s="172"/>
      <c r="E22" s="172"/>
      <c r="F22" s="172"/>
      <c r="G22" s="173"/>
      <c r="H22" s="172"/>
    </row>
    <row r="23" spans="2:8" ht="14.4" x14ac:dyDescent="0.3">
      <c r="B23" s="172"/>
      <c r="C23" s="172"/>
      <c r="D23" s="172"/>
      <c r="E23" s="172"/>
      <c r="F23" s="172"/>
      <c r="G23" s="172"/>
      <c r="H23" s="172"/>
    </row>
    <row r="24" spans="2:8" ht="14.4" x14ac:dyDescent="0.3">
      <c r="B24" s="172"/>
      <c r="C24" s="172"/>
      <c r="D24" s="172"/>
      <c r="E24" s="172"/>
      <c r="F24" s="172"/>
      <c r="G24" s="172"/>
      <c r="H24" s="172"/>
    </row>
    <row r="25" spans="2:8" ht="14.4" x14ac:dyDescent="0.3">
      <c r="B25" s="172"/>
      <c r="C25" s="172"/>
      <c r="D25" s="172"/>
      <c r="E25" s="172"/>
      <c r="F25" s="172"/>
      <c r="G25" s="172"/>
      <c r="H25" s="172"/>
    </row>
    <row r="26" spans="2:8" ht="14.4" x14ac:dyDescent="0.3">
      <c r="B26" s="172"/>
      <c r="C26" s="172"/>
      <c r="D26" s="172"/>
      <c r="E26" s="172"/>
      <c r="F26" s="172"/>
      <c r="G26" s="172"/>
      <c r="H26" s="172"/>
    </row>
    <row r="27" spans="2:8" ht="14.4" x14ac:dyDescent="0.3">
      <c r="B27" s="172"/>
      <c r="C27" s="172"/>
      <c r="D27" s="172"/>
      <c r="E27" s="172"/>
      <c r="F27" s="172"/>
      <c r="G27" s="172"/>
      <c r="H27" s="172"/>
    </row>
    <row r="28" spans="2:8" ht="14.4" x14ac:dyDescent="0.3">
      <c r="B28" s="172"/>
      <c r="C28" s="172"/>
      <c r="D28" s="172"/>
      <c r="E28" s="172"/>
      <c r="F28" s="172"/>
      <c r="G28" s="172"/>
      <c r="H28" s="172"/>
    </row>
    <row r="29" spans="2:8" ht="14.4" x14ac:dyDescent="0.3">
      <c r="B29" s="172"/>
      <c r="C29" s="172"/>
      <c r="D29" s="172"/>
      <c r="E29" s="172"/>
      <c r="F29" s="172"/>
      <c r="G29" s="172"/>
      <c r="H29" s="172"/>
    </row>
    <row r="30" spans="2:8" ht="14.4" x14ac:dyDescent="0.3">
      <c r="B30" s="172"/>
      <c r="C30" s="172"/>
      <c r="D30" s="172"/>
      <c r="E30" s="172"/>
      <c r="F30" s="172"/>
      <c r="G30" s="172"/>
      <c r="H30" s="172"/>
    </row>
    <row r="31" spans="2:8" ht="14.4" x14ac:dyDescent="0.3">
      <c r="B31" s="172"/>
      <c r="C31" s="172"/>
      <c r="D31" s="172"/>
      <c r="E31" s="172"/>
      <c r="F31" s="172"/>
      <c r="G31" s="172"/>
      <c r="H31" s="172"/>
    </row>
    <row r="32" spans="2:8" ht="14.4" x14ac:dyDescent="0.3">
      <c r="B32" s="172"/>
      <c r="C32" s="172"/>
      <c r="D32" s="172"/>
      <c r="E32" s="172"/>
      <c r="F32" s="172"/>
      <c r="G32" s="172"/>
      <c r="H32" s="172"/>
    </row>
    <row r="33" spans="2:8" ht="14.4" x14ac:dyDescent="0.3">
      <c r="B33" s="172"/>
      <c r="C33" s="172"/>
      <c r="D33" s="172"/>
      <c r="E33" s="172"/>
      <c r="F33" s="172"/>
      <c r="G33" s="172"/>
      <c r="H33" s="172"/>
    </row>
    <row r="34" spans="2:8" x14ac:dyDescent="0.25"/>
    <row r="35" spans="2:8" x14ac:dyDescent="0.25"/>
    <row r="36" spans="2:8" x14ac:dyDescent="0.25"/>
    <row r="37" spans="2:8" x14ac:dyDescent="0.25"/>
    <row r="38" spans="2:8" x14ac:dyDescent="0.25"/>
    <row r="39" spans="2:8" x14ac:dyDescent="0.25"/>
    <row r="40" spans="2:8" x14ac:dyDescent="0.25"/>
    <row r="41" spans="2:8" x14ac:dyDescent="0.25"/>
    <row r="42" spans="2:8" x14ac:dyDescent="0.25"/>
    <row r="43" spans="2:8" x14ac:dyDescent="0.25"/>
    <row r="44" spans="2:8" x14ac:dyDescent="0.25"/>
    <row r="45" spans="2:8" x14ac:dyDescent="0.25"/>
    <row r="46" spans="2:8" x14ac:dyDescent="0.25"/>
    <row r="47" spans="2:8" x14ac:dyDescent="0.25"/>
    <row r="48" spans="2:8" x14ac:dyDescent="0.25"/>
    <row r="49" s="1" customFormat="1" x14ac:dyDescent="0.25"/>
    <row r="50" s="1" customFormat="1" x14ac:dyDescent="0.25"/>
    <row r="51" s="1" customFormat="1" x14ac:dyDescent="0.25"/>
    <row r="52" s="1" customFormat="1" x14ac:dyDescent="0.25"/>
  </sheetData>
  <mergeCells count="2">
    <mergeCell ref="B2:H2"/>
    <mergeCell ref="B4:H4"/>
  </mergeCells>
  <pageMargins left="0.7" right="0.7" top="0.75" bottom="0.75" header="0.3" footer="0.3"/>
  <pageSetup paperSize="9" scale="80" fitToHeight="0"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Z55"/>
  <sheetViews>
    <sheetView tabSelected="1" zoomScaleNormal="100" zoomScaleSheetLayoutView="100" workbookViewId="0">
      <pane xSplit="1" ySplit="4" topLeftCell="B45" activePane="bottomRight" state="frozen"/>
      <selection pane="topRight" activeCell="B1" sqref="B1"/>
      <selection pane="bottomLeft" activeCell="A5" sqref="A5"/>
      <selection pane="bottomRight" activeCell="E49" sqref="E49"/>
    </sheetView>
  </sheetViews>
  <sheetFormatPr defaultColWidth="0" defaultRowHeight="13.8" zeroHeight="1" outlineLevelRow="1" outlineLevelCol="1" x14ac:dyDescent="0.25"/>
  <cols>
    <col min="1" max="1" width="4.109375" style="14" customWidth="1"/>
    <col min="2" max="2" width="7.33203125" style="14" customWidth="1"/>
    <col min="3" max="3" width="20.44140625" style="14" customWidth="1"/>
    <col min="4" max="4" width="44.44140625" style="14" customWidth="1"/>
    <col min="5" max="9" width="13.33203125" style="14" customWidth="1"/>
    <col min="10" max="10" width="8.88671875" style="14" customWidth="1"/>
    <col min="11" max="11" width="8.88671875" style="146" hidden="1" customWidth="1" outlineLevel="1"/>
    <col min="12" max="12" width="16.6640625" style="146" hidden="1" customWidth="1" outlineLevel="1"/>
    <col min="13" max="13" width="8.88671875" style="14" hidden="1" customWidth="1" collapsed="1"/>
    <col min="14" max="16384" width="8.88671875" style="14" hidden="1"/>
  </cols>
  <sheetData>
    <row r="1" spans="1:16" x14ac:dyDescent="0.25">
      <c r="A1" s="13"/>
      <c r="B1" s="13"/>
      <c r="C1" s="13"/>
      <c r="D1" s="13"/>
      <c r="E1" s="13"/>
      <c r="F1" s="13"/>
      <c r="G1" s="13"/>
      <c r="H1" s="13"/>
      <c r="I1" s="13"/>
      <c r="J1" s="13"/>
    </row>
    <row r="2" spans="1:16" ht="49.8" customHeight="1" x14ac:dyDescent="0.25">
      <c r="A2" s="13"/>
      <c r="B2" s="298" t="s">
        <v>356</v>
      </c>
      <c r="C2" s="298"/>
      <c r="D2" s="298"/>
      <c r="E2" s="298"/>
      <c r="F2" s="298"/>
      <c r="G2" s="298"/>
      <c r="H2" s="298"/>
      <c r="I2" s="298"/>
      <c r="J2" s="13"/>
    </row>
    <row r="3" spans="1:16" x14ac:dyDescent="0.25">
      <c r="A3" s="13"/>
      <c r="B3" s="13"/>
      <c r="C3" s="13"/>
      <c r="D3" s="13"/>
      <c r="E3" s="13"/>
      <c r="F3" s="13"/>
      <c r="G3" s="13"/>
      <c r="H3" s="13"/>
      <c r="I3" s="13"/>
      <c r="J3" s="13"/>
    </row>
    <row r="4" spans="1:16" ht="34.200000000000003" x14ac:dyDescent="0.25">
      <c r="A4" s="13"/>
      <c r="B4" s="15" t="s">
        <v>12</v>
      </c>
      <c r="C4" s="15" t="s">
        <v>13</v>
      </c>
      <c r="D4" s="15" t="s">
        <v>14</v>
      </c>
      <c r="E4" s="16" t="s">
        <v>91</v>
      </c>
      <c r="F4" s="17" t="s">
        <v>15</v>
      </c>
      <c r="G4" s="17" t="s">
        <v>16</v>
      </c>
      <c r="H4" s="17" t="s">
        <v>17</v>
      </c>
      <c r="I4" s="17" t="s">
        <v>18</v>
      </c>
      <c r="J4" s="13"/>
    </row>
    <row r="5" spans="1:16" ht="24" x14ac:dyDescent="0.25">
      <c r="A5" s="13"/>
      <c r="B5" s="299" t="s">
        <v>357</v>
      </c>
      <c r="C5" s="299"/>
      <c r="D5" s="300" t="s">
        <v>358</v>
      </c>
      <c r="E5" s="11" t="s">
        <v>1</v>
      </c>
      <c r="F5" s="301"/>
      <c r="G5" s="301"/>
      <c r="H5" s="301"/>
      <c r="I5" s="301"/>
      <c r="J5" s="13"/>
    </row>
    <row r="6" spans="1:16" x14ac:dyDescent="0.25">
      <c r="A6" s="13"/>
      <c r="B6" s="286" t="s">
        <v>19</v>
      </c>
      <c r="C6" s="287"/>
      <c r="D6" s="287"/>
      <c r="E6" s="287"/>
      <c r="F6" s="287"/>
      <c r="G6" s="287"/>
      <c r="H6" s="287"/>
      <c r="I6" s="288"/>
      <c r="J6" s="13"/>
      <c r="K6" s="26" t="s">
        <v>1</v>
      </c>
      <c r="L6" s="27" t="s">
        <v>78</v>
      </c>
    </row>
    <row r="7" spans="1:16" ht="48" x14ac:dyDescent="0.25">
      <c r="A7" s="13"/>
      <c r="B7" s="290" t="s">
        <v>20</v>
      </c>
      <c r="C7" s="293" t="s">
        <v>21</v>
      </c>
      <c r="D7" s="18" t="s">
        <v>77</v>
      </c>
      <c r="E7" s="11" t="s">
        <v>1</v>
      </c>
      <c r="F7" s="10" t="str">
        <f>IF(E7="Nē", "+", "")</f>
        <v/>
      </c>
      <c r="G7" s="10"/>
      <c r="H7" s="10"/>
      <c r="I7" s="10"/>
      <c r="J7" s="13"/>
      <c r="K7" s="31" t="s">
        <v>2</v>
      </c>
      <c r="L7" s="32" t="s">
        <v>79</v>
      </c>
      <c r="M7" s="29"/>
      <c r="N7" s="28"/>
      <c r="O7" s="28"/>
      <c r="P7" s="28"/>
    </row>
    <row r="8" spans="1:16" ht="36" x14ac:dyDescent="0.25">
      <c r="A8" s="13"/>
      <c r="B8" s="292"/>
      <c r="C8" s="295"/>
      <c r="D8" s="18" t="s">
        <v>338</v>
      </c>
      <c r="E8" s="11" t="s">
        <v>1</v>
      </c>
      <c r="F8" s="10" t="str">
        <f>IF(E8="Nē", "+", "")</f>
        <v/>
      </c>
      <c r="G8" s="10"/>
      <c r="H8" s="10"/>
      <c r="I8" s="10"/>
      <c r="J8" s="13"/>
      <c r="K8" s="31" t="s">
        <v>101</v>
      </c>
      <c r="L8" s="32" t="s">
        <v>80</v>
      </c>
      <c r="M8" s="30"/>
    </row>
    <row r="9" spans="1:16" ht="60" x14ac:dyDescent="0.25">
      <c r="A9" s="13"/>
      <c r="B9" s="290" t="s">
        <v>22</v>
      </c>
      <c r="C9" s="296" t="s">
        <v>23</v>
      </c>
      <c r="D9" s="18" t="s">
        <v>96</v>
      </c>
      <c r="E9" s="11" t="s">
        <v>2</v>
      </c>
      <c r="F9" s="10"/>
      <c r="G9" s="10"/>
      <c r="H9" s="10"/>
      <c r="I9" s="10"/>
      <c r="J9" s="13"/>
      <c r="K9" s="33"/>
      <c r="L9" s="32" t="s">
        <v>81</v>
      </c>
      <c r="M9" s="30"/>
    </row>
    <row r="10" spans="1:16" ht="48" x14ac:dyDescent="0.25">
      <c r="A10" s="13"/>
      <c r="B10" s="292"/>
      <c r="C10" s="297"/>
      <c r="D10" s="18" t="s">
        <v>24</v>
      </c>
      <c r="E10" s="11" t="s">
        <v>101</v>
      </c>
      <c r="F10" s="10" t="str">
        <f>IF(E10="Jā", "+", "")</f>
        <v/>
      </c>
      <c r="G10" s="10"/>
      <c r="H10" s="10"/>
      <c r="I10" s="10"/>
      <c r="J10" s="13"/>
      <c r="K10" s="33"/>
      <c r="L10" s="32" t="s">
        <v>82</v>
      </c>
      <c r="M10" s="30"/>
    </row>
    <row r="11" spans="1:16" ht="60" x14ac:dyDescent="0.25">
      <c r="A11" s="13"/>
      <c r="B11" s="20" t="s">
        <v>25</v>
      </c>
      <c r="C11" s="21" t="s">
        <v>26</v>
      </c>
      <c r="D11" s="18" t="s">
        <v>27</v>
      </c>
      <c r="E11" s="11" t="s">
        <v>2</v>
      </c>
      <c r="F11" s="10" t="str">
        <f>IF(E11="Jā", "+", "")</f>
        <v/>
      </c>
      <c r="G11" s="10"/>
      <c r="H11" s="10"/>
      <c r="I11" s="10"/>
      <c r="J11" s="13"/>
      <c r="K11" s="147"/>
      <c r="L11" s="147"/>
      <c r="M11" s="30"/>
    </row>
    <row r="12" spans="1:16" x14ac:dyDescent="0.25">
      <c r="A12" s="13"/>
      <c r="B12" s="286" t="s">
        <v>28</v>
      </c>
      <c r="C12" s="287"/>
      <c r="D12" s="287"/>
      <c r="E12" s="287"/>
      <c r="F12" s="287"/>
      <c r="G12" s="287"/>
      <c r="H12" s="287"/>
      <c r="I12" s="288"/>
      <c r="J12" s="13"/>
    </row>
    <row r="13" spans="1:16" ht="36" x14ac:dyDescent="0.25">
      <c r="A13" s="13"/>
      <c r="B13" s="20" t="s">
        <v>29</v>
      </c>
      <c r="C13" s="21" t="s">
        <v>30</v>
      </c>
      <c r="D13" s="18" t="s">
        <v>83</v>
      </c>
      <c r="E13" s="11" t="s">
        <v>1</v>
      </c>
      <c r="F13" s="10" t="str">
        <f>IF(E13="Nē", "+", "")</f>
        <v/>
      </c>
      <c r="G13" s="10"/>
      <c r="H13" s="10"/>
      <c r="I13" s="10"/>
      <c r="J13" s="13"/>
    </row>
    <row r="14" spans="1:16" ht="24" x14ac:dyDescent="0.25">
      <c r="A14" s="13"/>
      <c r="B14" s="20" t="s">
        <v>31</v>
      </c>
      <c r="C14" s="21" t="s">
        <v>32</v>
      </c>
      <c r="D14" s="18" t="s">
        <v>33</v>
      </c>
      <c r="E14" s="11" t="s">
        <v>1</v>
      </c>
      <c r="F14" s="10" t="str">
        <f>IF(E14="Nē", "+", "")</f>
        <v/>
      </c>
      <c r="G14" s="10"/>
      <c r="H14" s="10"/>
      <c r="I14" s="10"/>
      <c r="J14" s="13"/>
    </row>
    <row r="15" spans="1:16" ht="36" x14ac:dyDescent="0.25">
      <c r="A15" s="13"/>
      <c r="B15" s="20" t="s">
        <v>34</v>
      </c>
      <c r="C15" s="21" t="s">
        <v>35</v>
      </c>
      <c r="D15" s="18" t="s">
        <v>36</v>
      </c>
      <c r="E15" s="11" t="s">
        <v>1</v>
      </c>
      <c r="F15" s="10" t="str">
        <f>IF(E15="Nē", "+", "")</f>
        <v/>
      </c>
      <c r="G15" s="10"/>
      <c r="H15" s="10"/>
      <c r="I15" s="10"/>
      <c r="J15" s="13"/>
    </row>
    <row r="16" spans="1:16" ht="24" x14ac:dyDescent="0.25">
      <c r="A16" s="13"/>
      <c r="B16" s="20">
        <v>2.4</v>
      </c>
      <c r="C16" s="21" t="s">
        <v>37</v>
      </c>
      <c r="D16" s="18" t="s">
        <v>38</v>
      </c>
      <c r="E16" s="11" t="s">
        <v>2</v>
      </c>
      <c r="F16" s="10" t="str">
        <f>IF(E16="Jā", "+", "")</f>
        <v/>
      </c>
      <c r="G16" s="10"/>
      <c r="H16" s="10"/>
      <c r="I16" s="10"/>
      <c r="J16" s="13"/>
    </row>
    <row r="17" spans="1:26" ht="48" x14ac:dyDescent="0.25">
      <c r="A17" s="13"/>
      <c r="B17" s="290" t="s">
        <v>39</v>
      </c>
      <c r="C17" s="293" t="s">
        <v>40</v>
      </c>
      <c r="D17" s="18" t="s">
        <v>41</v>
      </c>
      <c r="E17" s="11" t="s">
        <v>101</v>
      </c>
      <c r="F17" s="10"/>
      <c r="G17" s="10"/>
      <c r="H17" s="10"/>
      <c r="I17" s="10"/>
      <c r="J17" s="13"/>
    </row>
    <row r="18" spans="1:26" ht="24" x14ac:dyDescent="0.25">
      <c r="A18" s="13"/>
      <c r="B18" s="291"/>
      <c r="C18" s="294"/>
      <c r="D18" s="18" t="s">
        <v>97</v>
      </c>
      <c r="E18" s="11" t="s">
        <v>101</v>
      </c>
      <c r="F18" s="10" t="str">
        <f>IF(E18="Jā", "+", "")</f>
        <v/>
      </c>
      <c r="G18" s="10"/>
      <c r="H18" s="10"/>
      <c r="I18" s="10"/>
      <c r="J18" s="13"/>
    </row>
    <row r="19" spans="1:26" ht="36" x14ac:dyDescent="0.25">
      <c r="A19" s="13"/>
      <c r="B19" s="292"/>
      <c r="C19" s="295"/>
      <c r="D19" s="18" t="s">
        <v>84</v>
      </c>
      <c r="E19" s="11" t="s">
        <v>101</v>
      </c>
      <c r="F19" s="10" t="str">
        <f>IF(E19="Jā", "+", "")</f>
        <v/>
      </c>
      <c r="G19" s="10"/>
      <c r="H19" s="10"/>
      <c r="I19" s="10"/>
      <c r="J19" s="13"/>
    </row>
    <row r="20" spans="1:26" ht="24" x14ac:dyDescent="0.25">
      <c r="A20" s="13"/>
      <c r="B20" s="20" t="s">
        <v>42</v>
      </c>
      <c r="C20" s="21" t="s">
        <v>43</v>
      </c>
      <c r="D20" s="18" t="s">
        <v>44</v>
      </c>
      <c r="E20" s="11" t="s">
        <v>2</v>
      </c>
      <c r="F20" s="10" t="str">
        <f>IF(E20="Jā", "+", "")</f>
        <v/>
      </c>
      <c r="G20" s="10"/>
      <c r="H20" s="10"/>
      <c r="I20" s="10"/>
      <c r="J20" s="13"/>
    </row>
    <row r="21" spans="1:26" x14ac:dyDescent="0.25">
      <c r="A21" s="13"/>
      <c r="B21" s="286" t="s">
        <v>45</v>
      </c>
      <c r="C21" s="287"/>
      <c r="D21" s="287"/>
      <c r="E21" s="287"/>
      <c r="F21" s="287"/>
      <c r="G21" s="287"/>
      <c r="H21" s="287"/>
      <c r="I21" s="288"/>
      <c r="J21" s="13"/>
    </row>
    <row r="22" spans="1:26" ht="36" x14ac:dyDescent="0.25">
      <c r="A22" s="13"/>
      <c r="B22" s="20" t="s">
        <v>46</v>
      </c>
      <c r="C22" s="21" t="s">
        <v>47</v>
      </c>
      <c r="D22" s="18" t="s">
        <v>85</v>
      </c>
      <c r="E22" s="11" t="s">
        <v>2</v>
      </c>
      <c r="F22" s="10" t="str">
        <f>IF(E22="Jā", "+", "")</f>
        <v/>
      </c>
      <c r="G22" s="10"/>
      <c r="H22" s="10"/>
      <c r="I22" s="10"/>
      <c r="J22" s="13"/>
    </row>
    <row r="23" spans="1:26" ht="60" x14ac:dyDescent="0.25">
      <c r="A23" s="13"/>
      <c r="B23" s="290" t="s">
        <v>48</v>
      </c>
      <c r="C23" s="293" t="s">
        <v>100</v>
      </c>
      <c r="D23" s="18" t="s">
        <v>86</v>
      </c>
      <c r="E23" s="11" t="s">
        <v>2</v>
      </c>
      <c r="F23" s="10"/>
      <c r="G23" s="10"/>
      <c r="H23" s="10"/>
      <c r="I23" s="10"/>
      <c r="J23" s="13"/>
    </row>
    <row r="24" spans="1:26" ht="36" x14ac:dyDescent="0.25">
      <c r="A24" s="13"/>
      <c r="B24" s="292"/>
      <c r="C24" s="295"/>
      <c r="D24" s="18" t="s">
        <v>87</v>
      </c>
      <c r="E24" s="11" t="s">
        <v>101</v>
      </c>
      <c r="F24" s="10" t="str">
        <f>IF(E24="Nē", "+", "")</f>
        <v/>
      </c>
      <c r="G24" s="10"/>
      <c r="H24" s="10"/>
      <c r="I24" s="10"/>
      <c r="J24" s="13"/>
    </row>
    <row r="25" spans="1:26" ht="48" x14ac:dyDescent="0.25">
      <c r="A25" s="13"/>
      <c r="B25" s="290" t="s">
        <v>49</v>
      </c>
      <c r="C25" s="293" t="s">
        <v>50</v>
      </c>
      <c r="D25" s="18" t="s">
        <v>88</v>
      </c>
      <c r="E25" s="11" t="s">
        <v>2</v>
      </c>
      <c r="F25" s="10"/>
      <c r="G25" s="10"/>
      <c r="H25" s="10" t="str">
        <f>IF(E25="Jā", "+", "")</f>
        <v/>
      </c>
      <c r="I25" s="10"/>
      <c r="J25" s="13"/>
    </row>
    <row r="26" spans="1:26" ht="48" x14ac:dyDescent="0.25">
      <c r="A26" s="13"/>
      <c r="B26" s="292"/>
      <c r="C26" s="295"/>
      <c r="D26" s="18" t="s">
        <v>89</v>
      </c>
      <c r="E26" s="11" t="s">
        <v>2</v>
      </c>
      <c r="F26" s="10"/>
      <c r="G26" s="10"/>
      <c r="H26" s="10"/>
      <c r="I26" s="10" t="str">
        <f>IF(E26="Jā", "+", "")</f>
        <v/>
      </c>
      <c r="J26" s="13"/>
    </row>
    <row r="27" spans="1:26" x14ac:dyDescent="0.25">
      <c r="A27" s="13"/>
      <c r="B27" s="286" t="s">
        <v>51</v>
      </c>
      <c r="C27" s="287"/>
      <c r="D27" s="287"/>
      <c r="E27" s="287"/>
      <c r="F27" s="287"/>
      <c r="G27" s="287"/>
      <c r="H27" s="287"/>
      <c r="I27" s="288"/>
      <c r="J27" s="13"/>
    </row>
    <row r="28" spans="1:26" ht="168" x14ac:dyDescent="0.25">
      <c r="A28" s="13"/>
      <c r="B28" s="20" t="s">
        <v>52</v>
      </c>
      <c r="C28" s="21" t="s">
        <v>53</v>
      </c>
      <c r="D28" s="18" t="s">
        <v>339</v>
      </c>
      <c r="E28" s="12" t="s">
        <v>78</v>
      </c>
      <c r="F28" s="10"/>
      <c r="G28" s="10"/>
      <c r="H28" s="10"/>
      <c r="I28" s="10" t="str">
        <f>IF(F28="Jā", "+", "")</f>
        <v/>
      </c>
      <c r="J28" s="13"/>
    </row>
    <row r="29" spans="1:26" ht="48" x14ac:dyDescent="0.25">
      <c r="A29" s="13"/>
      <c r="B29" s="20" t="s">
        <v>54</v>
      </c>
      <c r="C29" s="22"/>
      <c r="D29" s="18" t="s">
        <v>55</v>
      </c>
      <c r="E29" s="11" t="s">
        <v>101</v>
      </c>
      <c r="F29" s="10" t="str">
        <f>IF(E29="Nē", "+", "")</f>
        <v/>
      </c>
      <c r="G29" s="10"/>
      <c r="H29" s="10"/>
      <c r="I29" s="10" t="str">
        <f>IF(F29="Jā", "+", "")</f>
        <v/>
      </c>
      <c r="J29" s="13"/>
    </row>
    <row r="30" spans="1:26" ht="48" x14ac:dyDescent="0.25">
      <c r="A30" s="13"/>
      <c r="B30" s="20" t="s">
        <v>359</v>
      </c>
      <c r="C30" s="302" t="s">
        <v>361</v>
      </c>
      <c r="D30" s="18" t="s">
        <v>360</v>
      </c>
      <c r="E30" s="11" t="s">
        <v>1</v>
      </c>
      <c r="F30" s="10"/>
      <c r="G30" s="10"/>
      <c r="H30" s="10" t="str">
        <f>IF(E30="Nē", "+", "")</f>
        <v/>
      </c>
      <c r="I30" s="10"/>
      <c r="J30" s="13"/>
    </row>
    <row r="31" spans="1:26" x14ac:dyDescent="0.25">
      <c r="A31" s="13"/>
      <c r="B31" s="286" t="s">
        <v>56</v>
      </c>
      <c r="C31" s="287"/>
      <c r="D31" s="287"/>
      <c r="E31" s="287"/>
      <c r="F31" s="287"/>
      <c r="G31" s="287"/>
      <c r="H31" s="287"/>
      <c r="I31" s="288"/>
      <c r="J31" s="13"/>
    </row>
    <row r="32" spans="1:26" ht="48" x14ac:dyDescent="0.25">
      <c r="A32" s="13"/>
      <c r="B32" s="290" t="s">
        <v>57</v>
      </c>
      <c r="C32" s="293" t="s">
        <v>58</v>
      </c>
      <c r="D32" s="18" t="s">
        <v>92</v>
      </c>
      <c r="E32" s="11" t="s">
        <v>1</v>
      </c>
      <c r="F32" s="10"/>
      <c r="G32" s="10"/>
      <c r="H32" s="10"/>
      <c r="I32" s="10"/>
      <c r="J32" s="13"/>
      <c r="Z32" s="23"/>
    </row>
    <row r="33" spans="1:10" ht="36" x14ac:dyDescent="0.25">
      <c r="A33" s="13"/>
      <c r="B33" s="291"/>
      <c r="C33" s="294"/>
      <c r="D33" s="18" t="s">
        <v>59</v>
      </c>
      <c r="E33" s="11" t="s">
        <v>2</v>
      </c>
      <c r="F33" s="10" t="str">
        <f>IF(E33="Jā", "+", "")</f>
        <v/>
      </c>
      <c r="G33" s="10"/>
      <c r="H33" s="10"/>
      <c r="I33" s="10"/>
      <c r="J33" s="13"/>
    </row>
    <row r="34" spans="1:10" ht="36" x14ac:dyDescent="0.25">
      <c r="A34" s="13"/>
      <c r="B34" s="291"/>
      <c r="C34" s="294"/>
      <c r="D34" s="18" t="s">
        <v>60</v>
      </c>
      <c r="E34" s="11" t="s">
        <v>2</v>
      </c>
      <c r="F34" s="24"/>
      <c r="G34" s="10" t="str">
        <f>IF(E34="Jā", "+", "")</f>
        <v/>
      </c>
      <c r="H34" s="10"/>
      <c r="I34" s="10"/>
      <c r="J34" s="13"/>
    </row>
    <row r="35" spans="1:10" ht="36" x14ac:dyDescent="0.25">
      <c r="A35" s="13"/>
      <c r="B35" s="291"/>
      <c r="C35" s="294"/>
      <c r="D35" s="18" t="s">
        <v>61</v>
      </c>
      <c r="E35" s="11" t="s">
        <v>1</v>
      </c>
      <c r="F35" s="10"/>
      <c r="G35" s="10"/>
      <c r="H35" s="10" t="str">
        <f>IF(E35="Jā", "+", "")</f>
        <v>+</v>
      </c>
      <c r="I35" s="10"/>
      <c r="J35" s="13"/>
    </row>
    <row r="36" spans="1:10" ht="36" x14ac:dyDescent="0.25">
      <c r="A36" s="13"/>
      <c r="B36" s="292"/>
      <c r="C36" s="295"/>
      <c r="D36" s="18" t="s">
        <v>62</v>
      </c>
      <c r="E36" s="11" t="s">
        <v>2</v>
      </c>
      <c r="F36" s="10"/>
      <c r="G36" s="10"/>
      <c r="H36" s="10"/>
      <c r="I36" s="10" t="str">
        <f>IF(E36="Jā", "+", "")</f>
        <v/>
      </c>
      <c r="J36" s="13"/>
    </row>
    <row r="37" spans="1:10" ht="36" x14ac:dyDescent="0.25">
      <c r="A37" s="13"/>
      <c r="B37" s="20" t="s">
        <v>63</v>
      </c>
      <c r="C37" s="21" t="s">
        <v>64</v>
      </c>
      <c r="D37" s="18" t="s">
        <v>65</v>
      </c>
      <c r="E37" s="11" t="s">
        <v>2</v>
      </c>
      <c r="F37" s="10" t="str">
        <f>IF(E37="Jā", "+", "")</f>
        <v/>
      </c>
      <c r="G37" s="10"/>
      <c r="H37" s="10"/>
      <c r="I37" s="10"/>
      <c r="J37" s="13"/>
    </row>
    <row r="38" spans="1:10" ht="24" x14ac:dyDescent="0.25">
      <c r="A38" s="13"/>
      <c r="B38" s="20" t="s">
        <v>66</v>
      </c>
      <c r="C38" s="21" t="s">
        <v>67</v>
      </c>
      <c r="D38" s="18" t="s">
        <v>98</v>
      </c>
      <c r="E38" s="11" t="s">
        <v>2</v>
      </c>
      <c r="F38" s="10" t="str">
        <f>IF(E38="Jā", "+", "")</f>
        <v/>
      </c>
      <c r="G38" s="10"/>
      <c r="H38" s="10"/>
      <c r="I38" s="10"/>
      <c r="J38" s="13"/>
    </row>
    <row r="39" spans="1:10" ht="24" x14ac:dyDescent="0.25">
      <c r="A39" s="13"/>
      <c r="B39" s="20" t="s">
        <v>362</v>
      </c>
      <c r="C39" s="21" t="s">
        <v>68</v>
      </c>
      <c r="D39" s="18" t="s">
        <v>69</v>
      </c>
      <c r="E39" s="11" t="s">
        <v>101</v>
      </c>
      <c r="F39" s="10" t="str">
        <f>IF(E39="Jā", "+", "")</f>
        <v/>
      </c>
      <c r="G39" s="10"/>
      <c r="H39" s="10"/>
      <c r="I39" s="10"/>
      <c r="J39" s="13"/>
    </row>
    <row r="40" spans="1:10" ht="24" x14ac:dyDescent="0.25">
      <c r="A40" s="13"/>
      <c r="B40" s="20" t="s">
        <v>363</v>
      </c>
      <c r="C40" s="21" t="s">
        <v>364</v>
      </c>
      <c r="D40" s="18" t="s">
        <v>365</v>
      </c>
      <c r="E40" s="11" t="s">
        <v>2</v>
      </c>
      <c r="F40" s="303"/>
      <c r="G40" s="303"/>
      <c r="H40" s="303" t="str">
        <f>IF(E40="Jā", "+", "")</f>
        <v/>
      </c>
      <c r="I40" s="303"/>
      <c r="J40" s="13"/>
    </row>
    <row r="41" spans="1:10" x14ac:dyDescent="0.25">
      <c r="A41" s="13"/>
      <c r="B41" s="286" t="s">
        <v>70</v>
      </c>
      <c r="C41" s="287"/>
      <c r="D41" s="287"/>
      <c r="E41" s="287"/>
      <c r="F41" s="287"/>
      <c r="G41" s="287"/>
      <c r="H41" s="287"/>
      <c r="I41" s="288"/>
      <c r="J41" s="13"/>
    </row>
    <row r="42" spans="1:10" ht="48" x14ac:dyDescent="0.25">
      <c r="A42" s="13"/>
      <c r="B42" s="290" t="s">
        <v>71</v>
      </c>
      <c r="C42" s="293" t="s">
        <v>72</v>
      </c>
      <c r="D42" s="18" t="s">
        <v>73</v>
      </c>
      <c r="E42" s="11" t="s">
        <v>2</v>
      </c>
      <c r="F42" s="10"/>
      <c r="G42" s="10"/>
      <c r="H42" s="10"/>
      <c r="I42" s="10"/>
      <c r="J42" s="13"/>
    </row>
    <row r="43" spans="1:10" ht="24" x14ac:dyDescent="0.25">
      <c r="A43" s="13"/>
      <c r="B43" s="291"/>
      <c r="C43" s="294"/>
      <c r="D43" s="18" t="s">
        <v>74</v>
      </c>
      <c r="E43" s="11" t="s">
        <v>101</v>
      </c>
      <c r="F43" s="10" t="str">
        <f>IF(E43="Jā", "+", "")</f>
        <v/>
      </c>
      <c r="G43" s="10"/>
      <c r="H43" s="10"/>
      <c r="I43" s="10"/>
      <c r="J43" s="13"/>
    </row>
    <row r="44" spans="1:10" ht="24" x14ac:dyDescent="0.25">
      <c r="A44" s="13"/>
      <c r="B44" s="291"/>
      <c r="C44" s="294"/>
      <c r="D44" s="18" t="s">
        <v>93</v>
      </c>
      <c r="E44" s="11" t="s">
        <v>101</v>
      </c>
      <c r="F44" s="10"/>
      <c r="G44" s="10" t="str">
        <f>IF(E44="Jā", "+", "")</f>
        <v/>
      </c>
      <c r="H44" s="10"/>
      <c r="I44" s="10"/>
      <c r="J44" s="13"/>
    </row>
    <row r="45" spans="1:10" ht="24" x14ac:dyDescent="0.25">
      <c r="A45" s="13"/>
      <c r="B45" s="291"/>
      <c r="C45" s="294"/>
      <c r="D45" s="18" t="s">
        <v>94</v>
      </c>
      <c r="E45" s="11" t="s">
        <v>101</v>
      </c>
      <c r="F45" s="10"/>
      <c r="G45" s="10"/>
      <c r="H45" s="10" t="str">
        <f>IF(E45="Jā", "+", "")</f>
        <v/>
      </c>
      <c r="I45" s="10"/>
      <c r="J45" s="13"/>
    </row>
    <row r="46" spans="1:10" ht="24" x14ac:dyDescent="0.25">
      <c r="A46" s="13"/>
      <c r="B46" s="292"/>
      <c r="C46" s="295"/>
      <c r="D46" s="18" t="s">
        <v>95</v>
      </c>
      <c r="E46" s="11" t="s">
        <v>101</v>
      </c>
      <c r="F46" s="10"/>
      <c r="G46" s="10"/>
      <c r="H46" s="10"/>
      <c r="I46" s="10" t="str">
        <f>IF(E46="Jā", "+", "")</f>
        <v/>
      </c>
      <c r="J46" s="13"/>
    </row>
    <row r="47" spans="1:10" ht="24" x14ac:dyDescent="0.25">
      <c r="A47" s="13"/>
      <c r="B47" s="20" t="s">
        <v>99</v>
      </c>
      <c r="C47" s="21" t="s">
        <v>75</v>
      </c>
      <c r="D47" s="18" t="s">
        <v>76</v>
      </c>
      <c r="E47" s="11" t="s">
        <v>2</v>
      </c>
      <c r="F47" s="10" t="str">
        <f>IF(E47="Jā", "+", "")</f>
        <v/>
      </c>
      <c r="G47" s="10"/>
      <c r="H47" s="10"/>
      <c r="I47" s="10"/>
      <c r="J47" s="13"/>
    </row>
    <row r="48" spans="1:10" ht="24" x14ac:dyDescent="0.25">
      <c r="A48" s="13"/>
      <c r="B48" s="20" t="s">
        <v>366</v>
      </c>
      <c r="C48" s="21" t="s">
        <v>367</v>
      </c>
      <c r="D48" s="18" t="s">
        <v>368</v>
      </c>
      <c r="E48" s="11" t="s">
        <v>2</v>
      </c>
      <c r="F48" s="303" t="str">
        <f>IF(E48="Jā", "+", "")</f>
        <v/>
      </c>
      <c r="G48" s="303"/>
      <c r="H48" s="303"/>
      <c r="I48" s="303"/>
      <c r="J48" s="13"/>
    </row>
    <row r="49" spans="1:10" hidden="1" outlineLevel="1" x14ac:dyDescent="0.25">
      <c r="A49" s="13"/>
      <c r="B49" s="20"/>
      <c r="C49" s="21"/>
      <c r="D49" s="18"/>
      <c r="E49" s="11"/>
      <c r="F49" s="19"/>
      <c r="G49" s="19"/>
      <c r="H49" s="19"/>
      <c r="I49" s="19"/>
      <c r="J49" s="13"/>
    </row>
    <row r="50" spans="1:10" hidden="1" outlineLevel="1" x14ac:dyDescent="0.25">
      <c r="A50" s="13"/>
      <c r="B50" s="20"/>
      <c r="C50" s="25" t="s">
        <v>102</v>
      </c>
      <c r="D50" s="18"/>
      <c r="E50" s="11"/>
      <c r="F50" s="19"/>
      <c r="G50" s="19"/>
      <c r="H50" s="19"/>
      <c r="I50" s="19"/>
      <c r="J50" s="13"/>
    </row>
    <row r="51" spans="1:10" hidden="1" outlineLevel="1" x14ac:dyDescent="0.25">
      <c r="A51" s="13"/>
      <c r="B51" s="20"/>
      <c r="C51" s="21"/>
      <c r="D51" s="18"/>
      <c r="E51" s="11"/>
      <c r="F51" s="19"/>
      <c r="G51" s="19"/>
      <c r="H51" s="19"/>
      <c r="I51" s="19"/>
      <c r="J51" s="13"/>
    </row>
    <row r="52" spans="1:10" collapsed="1" x14ac:dyDescent="0.25">
      <c r="A52" s="13"/>
      <c r="B52" s="13"/>
      <c r="C52" s="13"/>
      <c r="D52" s="13"/>
      <c r="E52" s="13"/>
      <c r="F52" s="13"/>
      <c r="G52" s="13"/>
      <c r="H52" s="13"/>
      <c r="I52" s="13"/>
      <c r="J52" s="13"/>
    </row>
    <row r="53" spans="1:10" ht="14.4" x14ac:dyDescent="0.25">
      <c r="A53" s="13"/>
      <c r="B53" s="289" t="s">
        <v>90</v>
      </c>
      <c r="C53" s="289"/>
      <c r="D53" s="289"/>
      <c r="E53" s="289"/>
      <c r="F53" s="289"/>
      <c r="G53" s="289"/>
      <c r="H53" s="289"/>
      <c r="I53" s="289"/>
      <c r="J53" s="13"/>
    </row>
    <row r="54" spans="1:10" x14ac:dyDescent="0.25">
      <c r="A54" s="13"/>
      <c r="B54" s="13"/>
      <c r="C54" s="13"/>
      <c r="D54" s="13"/>
      <c r="E54" s="13"/>
      <c r="F54" s="13"/>
      <c r="G54" s="13"/>
      <c r="H54" s="13"/>
      <c r="I54" s="13"/>
      <c r="J54" s="13"/>
    </row>
    <row r="55" spans="1:10" x14ac:dyDescent="0.25">
      <c r="B55" s="13"/>
      <c r="C55" s="13"/>
      <c r="D55" s="13"/>
      <c r="E55" s="13"/>
      <c r="F55" s="13"/>
      <c r="G55" s="13"/>
      <c r="H55" s="13"/>
      <c r="I55" s="13"/>
      <c r="J55" s="13"/>
    </row>
  </sheetData>
  <sheetProtection formatCells="0" formatColumns="0" formatRows="0" insertRows="0" deleteRows="0" selectLockedCells="1" selectUnlockedCells="1"/>
  <mergeCells count="23">
    <mergeCell ref="B31:I31"/>
    <mergeCell ref="B25:B26"/>
    <mergeCell ref="C25:C26"/>
    <mergeCell ref="B23:B24"/>
    <mergeCell ref="C23:C24"/>
    <mergeCell ref="B2:I2"/>
    <mergeCell ref="B6:I6"/>
    <mergeCell ref="B12:I12"/>
    <mergeCell ref="B21:I21"/>
    <mergeCell ref="B27:I27"/>
    <mergeCell ref="B17:B19"/>
    <mergeCell ref="C17:C19"/>
    <mergeCell ref="B9:B10"/>
    <mergeCell ref="C9:C10"/>
    <mergeCell ref="B7:B8"/>
    <mergeCell ref="C7:C8"/>
    <mergeCell ref="B5:C5"/>
    <mergeCell ref="B41:I41"/>
    <mergeCell ref="B53:I53"/>
    <mergeCell ref="B42:B46"/>
    <mergeCell ref="C42:C46"/>
    <mergeCell ref="B32:B36"/>
    <mergeCell ref="C32:C36"/>
  </mergeCells>
  <conditionalFormatting sqref="F7:I11">
    <cfRule type="cellIs" dxfId="3" priority="4" operator="equal">
      <formula>"+"</formula>
    </cfRule>
  </conditionalFormatting>
  <conditionalFormatting sqref="F22:I26 F28:I30 F32:I39 F42:I47">
    <cfRule type="cellIs" dxfId="2" priority="3" operator="equal">
      <formula>"+"</formula>
    </cfRule>
  </conditionalFormatting>
  <conditionalFormatting sqref="F40:I40">
    <cfRule type="cellIs" dxfId="1" priority="2" operator="equal">
      <formula>"+"</formula>
    </cfRule>
  </conditionalFormatting>
  <conditionalFormatting sqref="F48:I48">
    <cfRule type="cellIs" dxfId="0" priority="1" operator="equal">
      <formula>"+"</formula>
    </cfRule>
  </conditionalFormatting>
  <dataValidations count="2">
    <dataValidation type="list" allowBlank="1" showInputMessage="1" showErrorMessage="1" sqref="E28" xr:uid="{00000000-0002-0000-0A00-000000000000}">
      <formula1>$L$6:$L$10</formula1>
    </dataValidation>
    <dataValidation type="list" allowBlank="1" showInputMessage="1" showErrorMessage="1" sqref="E7:E11 E13:E20 E22:E26 E32:E40 E5 E29:E30 E42:E51" xr:uid="{00000000-0002-0000-0A00-000001000000}">
      <formula1>$K$6:$K$8</formula1>
    </dataValidation>
  </dataValidations>
  <pageMargins left="0.7" right="0.7" top="0.75" bottom="0.75" header="0.3" footer="0.3"/>
  <pageSetup paperSize="9" scale="54" orientation="portrait" r:id="rId1"/>
  <rowBreaks count="1" manualBreakCount="1">
    <brk id="30"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B3:N141"/>
  <sheetViews>
    <sheetView topLeftCell="A85" workbookViewId="0">
      <selection activeCell="B102" sqref="B102:H107"/>
    </sheetView>
  </sheetViews>
  <sheetFormatPr defaultColWidth="8.88671875" defaultRowHeight="12" outlineLevelRow="1" x14ac:dyDescent="0.25"/>
  <cols>
    <col min="1" max="1" width="6.21875" style="1" customWidth="1"/>
    <col min="2" max="2" width="40.109375" style="1" bestFit="1" customWidth="1"/>
    <col min="3" max="3" width="9" style="1" bestFit="1" customWidth="1"/>
    <col min="4" max="4" width="10" style="1" customWidth="1"/>
    <col min="5" max="8" width="8.6640625" style="1" customWidth="1"/>
    <col min="9" max="9" width="8.6640625" style="201" customWidth="1"/>
    <col min="10" max="12" width="8.6640625" style="1" customWidth="1"/>
    <col min="13" max="13" width="10.44140625" style="1" bestFit="1" customWidth="1"/>
    <col min="14" max="16384" width="8.88671875" style="1"/>
  </cols>
  <sheetData>
    <row r="3" spans="2:14" ht="14.4" x14ac:dyDescent="0.3">
      <c r="B3" s="260" t="s">
        <v>220</v>
      </c>
      <c r="C3" s="260"/>
      <c r="D3" s="260"/>
      <c r="E3" s="260"/>
      <c r="F3" s="260"/>
      <c r="G3" s="260"/>
      <c r="H3" s="260"/>
      <c r="I3" s="260"/>
    </row>
    <row r="4" spans="2:14" x14ac:dyDescent="0.25">
      <c r="I4" s="1"/>
      <c r="N4" s="202" t="s">
        <v>221</v>
      </c>
    </row>
    <row r="5" spans="2:14" x14ac:dyDescent="0.25">
      <c r="B5" s="221"/>
      <c r="C5" s="221"/>
      <c r="D5" s="221"/>
      <c r="E5" s="221"/>
      <c r="F5" s="221"/>
      <c r="G5" s="221"/>
      <c r="I5" s="1"/>
      <c r="N5" s="201"/>
    </row>
    <row r="6" spans="2:14" x14ac:dyDescent="0.25">
      <c r="B6" s="256" t="s">
        <v>283</v>
      </c>
      <c r="C6" s="256"/>
      <c r="D6" s="256"/>
      <c r="E6" s="256"/>
      <c r="F6" s="256"/>
      <c r="G6" s="256"/>
      <c r="H6" s="256"/>
      <c r="I6" s="256"/>
      <c r="J6" s="256"/>
      <c r="K6" s="256"/>
      <c r="L6" s="256"/>
      <c r="M6" s="256"/>
      <c r="N6" s="256"/>
    </row>
    <row r="7" spans="2:14" x14ac:dyDescent="0.25">
      <c r="N7" s="201"/>
    </row>
    <row r="8" spans="2:14" outlineLevel="1" x14ac:dyDescent="0.25">
      <c r="B8" s="199" t="s">
        <v>194</v>
      </c>
      <c r="C8" s="198">
        <v>0.04</v>
      </c>
      <c r="I8" s="1"/>
      <c r="N8" s="201" t="s">
        <v>259</v>
      </c>
    </row>
    <row r="9" spans="2:14" outlineLevel="1" x14ac:dyDescent="0.25">
      <c r="N9" s="201"/>
    </row>
    <row r="10" spans="2:14" ht="24" outlineLevel="1" x14ac:dyDescent="0.25">
      <c r="B10" s="261" t="s">
        <v>260</v>
      </c>
      <c r="C10" s="203">
        <v>2022</v>
      </c>
      <c r="D10" s="203">
        <v>2023</v>
      </c>
      <c r="E10" s="203" t="s">
        <v>262</v>
      </c>
      <c r="F10" s="203" t="s">
        <v>261</v>
      </c>
      <c r="N10" s="201" t="s">
        <v>259</v>
      </c>
    </row>
    <row r="11" spans="2:14" outlineLevel="1" x14ac:dyDescent="0.25">
      <c r="B11" s="261"/>
      <c r="C11" s="204">
        <v>0.02</v>
      </c>
      <c r="D11" s="204">
        <v>0.02</v>
      </c>
      <c r="E11" s="204">
        <v>1.4E-2</v>
      </c>
      <c r="F11" s="204">
        <v>0.02</v>
      </c>
    </row>
    <row r="12" spans="2:14" outlineLevel="1" x14ac:dyDescent="0.25"/>
    <row r="13" spans="2:14" outlineLevel="1" x14ac:dyDescent="0.25"/>
    <row r="14" spans="2:14" outlineLevel="1" x14ac:dyDescent="0.25">
      <c r="B14" s="207" t="s">
        <v>263</v>
      </c>
      <c r="C14" s="208">
        <v>2011</v>
      </c>
      <c r="D14" s="208">
        <v>2012</v>
      </c>
      <c r="E14" s="208">
        <v>2013</v>
      </c>
      <c r="F14" s="208">
        <v>2014</v>
      </c>
      <c r="G14" s="208">
        <v>2015</v>
      </c>
      <c r="H14" s="208">
        <v>2016</v>
      </c>
      <c r="I14" s="208">
        <v>2017</v>
      </c>
      <c r="J14" s="208">
        <v>2018</v>
      </c>
      <c r="K14" s="208">
        <v>2019</v>
      </c>
      <c r="L14" s="215" t="s">
        <v>272</v>
      </c>
      <c r="N14" s="1" t="s">
        <v>270</v>
      </c>
    </row>
    <row r="15" spans="2:14" outlineLevel="1" x14ac:dyDescent="0.25">
      <c r="B15" s="209" t="s">
        <v>264</v>
      </c>
      <c r="C15" s="205">
        <v>8839</v>
      </c>
      <c r="D15" s="205">
        <v>8922</v>
      </c>
      <c r="E15" s="205">
        <v>9074</v>
      </c>
      <c r="F15" s="205">
        <v>9244</v>
      </c>
      <c r="G15" s="205">
        <v>9342</v>
      </c>
      <c r="H15" s="205">
        <v>9387</v>
      </c>
      <c r="I15" s="206">
        <v>9524</v>
      </c>
      <c r="J15" s="205">
        <v>9676</v>
      </c>
      <c r="K15" s="205">
        <v>9798</v>
      </c>
    </row>
    <row r="16" spans="2:14" outlineLevel="1" x14ac:dyDescent="0.25">
      <c r="B16" s="209" t="s">
        <v>265</v>
      </c>
      <c r="C16" s="205">
        <v>3809</v>
      </c>
      <c r="D16" s="205">
        <v>3801</v>
      </c>
      <c r="E16" s="205">
        <v>5086</v>
      </c>
      <c r="F16" s="205">
        <v>6445</v>
      </c>
      <c r="G16" s="205">
        <v>6520</v>
      </c>
      <c r="H16" s="205">
        <v>6696</v>
      </c>
      <c r="I16" s="206">
        <v>6964</v>
      </c>
      <c r="J16" s="205">
        <v>7112</v>
      </c>
      <c r="K16" s="205">
        <v>7213</v>
      </c>
    </row>
    <row r="17" spans="2:14" outlineLevel="1" x14ac:dyDescent="0.25">
      <c r="B17" s="209" t="s">
        <v>266</v>
      </c>
      <c r="C17" s="205">
        <v>10359</v>
      </c>
      <c r="D17" s="205">
        <v>10294</v>
      </c>
      <c r="E17" s="205">
        <v>10228</v>
      </c>
      <c r="F17" s="205">
        <v>10112</v>
      </c>
      <c r="G17" s="205">
        <v>10004</v>
      </c>
      <c r="H17" s="205">
        <v>9858</v>
      </c>
      <c r="I17" s="206">
        <v>9747</v>
      </c>
      <c r="J17" s="205">
        <v>9689</v>
      </c>
      <c r="K17" s="205">
        <v>9620</v>
      </c>
    </row>
    <row r="18" spans="2:14" outlineLevel="1" x14ac:dyDescent="0.25">
      <c r="B18" s="209" t="s">
        <v>267</v>
      </c>
      <c r="C18" s="205">
        <v>6216</v>
      </c>
      <c r="D18" s="205">
        <v>6167</v>
      </c>
      <c r="E18" s="205">
        <v>6154</v>
      </c>
      <c r="F18" s="205">
        <v>6118</v>
      </c>
      <c r="G18" s="205">
        <v>6090</v>
      </c>
      <c r="H18" s="205">
        <v>6032</v>
      </c>
      <c r="I18" s="206">
        <v>5978</v>
      </c>
      <c r="J18" s="205">
        <v>5959</v>
      </c>
      <c r="K18" s="205">
        <v>5948</v>
      </c>
    </row>
    <row r="19" spans="2:14" outlineLevel="1" x14ac:dyDescent="0.25">
      <c r="B19" s="209" t="s">
        <v>268</v>
      </c>
      <c r="C19" s="205">
        <v>36112</v>
      </c>
      <c r="D19" s="205">
        <v>35724</v>
      </c>
      <c r="E19" s="205">
        <v>35214</v>
      </c>
      <c r="F19" s="205">
        <v>34739</v>
      </c>
      <c r="G19" s="205">
        <v>34280</v>
      </c>
      <c r="H19" s="205">
        <v>33714</v>
      </c>
      <c r="I19" s="206">
        <v>33266</v>
      </c>
      <c r="J19" s="205">
        <v>33040</v>
      </c>
      <c r="K19" s="205">
        <v>32992</v>
      </c>
    </row>
    <row r="20" spans="2:14" outlineLevel="1" x14ac:dyDescent="0.25">
      <c r="B20" s="209" t="s">
        <v>269</v>
      </c>
      <c r="C20" s="205">
        <v>24938</v>
      </c>
      <c r="D20" s="205">
        <v>24820</v>
      </c>
      <c r="E20" s="205">
        <v>24560</v>
      </c>
      <c r="F20" s="205">
        <v>24384</v>
      </c>
      <c r="G20" s="205">
        <v>24113</v>
      </c>
      <c r="H20" s="205">
        <v>23718</v>
      </c>
      <c r="I20" s="206">
        <v>23403</v>
      </c>
      <c r="J20" s="205">
        <v>23252</v>
      </c>
      <c r="K20" s="205">
        <v>23253</v>
      </c>
    </row>
    <row r="21" spans="2:14" outlineLevel="1" x14ac:dyDescent="0.25">
      <c r="B21" s="210" t="s">
        <v>192</v>
      </c>
      <c r="C21" s="212">
        <f>SUM(C15:C20)</f>
        <v>90273</v>
      </c>
      <c r="D21" s="212">
        <f t="shared" ref="D21:K21" si="0">SUM(D15:D20)</f>
        <v>89728</v>
      </c>
      <c r="E21" s="212">
        <f t="shared" si="0"/>
        <v>90316</v>
      </c>
      <c r="F21" s="212">
        <f t="shared" si="0"/>
        <v>91042</v>
      </c>
      <c r="G21" s="212">
        <f t="shared" si="0"/>
        <v>90349</v>
      </c>
      <c r="H21" s="212">
        <f t="shared" si="0"/>
        <v>89405</v>
      </c>
      <c r="I21" s="212">
        <f t="shared" si="0"/>
        <v>88882</v>
      </c>
      <c r="J21" s="212">
        <f t="shared" si="0"/>
        <v>88728</v>
      </c>
      <c r="K21" s="212">
        <f t="shared" si="0"/>
        <v>88824</v>
      </c>
      <c r="L21" s="212">
        <f>AVERAGE(C21:K21)</f>
        <v>89727.444444444438</v>
      </c>
    </row>
    <row r="22" spans="2:14" outlineLevel="1" x14ac:dyDescent="0.25">
      <c r="B22" s="210" t="s">
        <v>271</v>
      </c>
      <c r="C22" s="210"/>
      <c r="D22" s="214">
        <f>(D21-C21)/C21</f>
        <v>-6.0372425863768793E-3</v>
      </c>
      <c r="E22" s="214">
        <f t="shared" ref="E22:K22" si="1">(E21-D21)/D21</f>
        <v>6.553138373751783E-3</v>
      </c>
      <c r="F22" s="214">
        <f t="shared" si="1"/>
        <v>8.0384428008326327E-3</v>
      </c>
      <c r="G22" s="214">
        <f t="shared" si="1"/>
        <v>-7.6118714439489463E-3</v>
      </c>
      <c r="H22" s="214">
        <f t="shared" si="1"/>
        <v>-1.0448372422494991E-2</v>
      </c>
      <c r="I22" s="214">
        <f t="shared" si="1"/>
        <v>-5.8497846876572899E-3</v>
      </c>
      <c r="J22" s="214">
        <f t="shared" si="1"/>
        <v>-1.7326342791566347E-3</v>
      </c>
      <c r="K22" s="214">
        <f t="shared" si="1"/>
        <v>1.0819583446037328E-3</v>
      </c>
      <c r="L22" s="216">
        <f>AVERAGE(C22:K22)</f>
        <v>-2.0007957375558242E-3</v>
      </c>
    </row>
    <row r="23" spans="2:14" outlineLevel="1" x14ac:dyDescent="0.25"/>
    <row r="24" spans="2:14" outlineLevel="1" x14ac:dyDescent="0.25">
      <c r="B24" s="258" t="s">
        <v>273</v>
      </c>
      <c r="C24" s="258"/>
      <c r="D24" s="258"/>
      <c r="E24" s="258"/>
      <c r="F24" s="258"/>
      <c r="G24" s="258"/>
      <c r="H24" s="258"/>
      <c r="I24" s="258"/>
      <c r="J24" s="258"/>
      <c r="K24" s="258"/>
      <c r="N24" s="1" t="s">
        <v>274</v>
      </c>
    </row>
    <row r="25" spans="2:14" outlineLevel="1" x14ac:dyDescent="0.25">
      <c r="B25" s="258"/>
      <c r="C25" s="258"/>
      <c r="D25" s="258"/>
      <c r="E25" s="258"/>
      <c r="F25" s="258"/>
      <c r="G25" s="258"/>
      <c r="H25" s="258"/>
      <c r="I25" s="258"/>
      <c r="J25" s="258"/>
      <c r="K25" s="258"/>
    </row>
    <row r="26" spans="2:14" outlineLevel="1" x14ac:dyDescent="0.25"/>
    <row r="27" spans="2:14" outlineLevel="1" x14ac:dyDescent="0.25">
      <c r="C27" s="208">
        <v>2011</v>
      </c>
      <c r="D27" s="208">
        <v>2012</v>
      </c>
      <c r="E27" s="208">
        <v>2013</v>
      </c>
      <c r="F27" s="208">
        <v>2014</v>
      </c>
      <c r="G27" s="208">
        <v>2015</v>
      </c>
      <c r="H27" s="208">
        <v>2016</v>
      </c>
      <c r="I27" s="208">
        <v>2017</v>
      </c>
      <c r="J27" s="208">
        <v>2018</v>
      </c>
      <c r="K27" s="208">
        <v>2019</v>
      </c>
    </row>
    <row r="28" spans="2:14" outlineLevel="1" x14ac:dyDescent="0.25">
      <c r="B28" s="210" t="s">
        <v>192</v>
      </c>
      <c r="C28" s="212">
        <f>C21*0.15</f>
        <v>13540.949999999999</v>
      </c>
      <c r="D28" s="212">
        <f t="shared" ref="D28:K28" si="2">D21*0.15</f>
        <v>13459.199999999999</v>
      </c>
      <c r="E28" s="212">
        <f t="shared" si="2"/>
        <v>13547.4</v>
      </c>
      <c r="F28" s="212">
        <f t="shared" si="2"/>
        <v>13656.3</v>
      </c>
      <c r="G28" s="212">
        <f t="shared" si="2"/>
        <v>13552.35</v>
      </c>
      <c r="H28" s="212">
        <f t="shared" si="2"/>
        <v>13410.75</v>
      </c>
      <c r="I28" s="212">
        <f t="shared" si="2"/>
        <v>13332.3</v>
      </c>
      <c r="J28" s="212">
        <f t="shared" si="2"/>
        <v>13309.199999999999</v>
      </c>
      <c r="K28" s="212">
        <f t="shared" si="2"/>
        <v>13323.6</v>
      </c>
      <c r="L28" s="114">
        <f>AVERAGE(C28:K28)</f>
        <v>13459.116666666667</v>
      </c>
    </row>
    <row r="29" spans="2:14" outlineLevel="1" x14ac:dyDescent="0.25">
      <c r="B29" s="210" t="s">
        <v>275</v>
      </c>
      <c r="C29" s="210"/>
      <c r="D29" s="210"/>
      <c r="E29" s="210"/>
      <c r="F29" s="210"/>
      <c r="G29" s="210"/>
      <c r="H29" s="210"/>
      <c r="I29" s="210"/>
      <c r="J29" s="210"/>
      <c r="L29" s="210">
        <v>150</v>
      </c>
    </row>
    <row r="30" spans="2:14" outlineLevel="1" x14ac:dyDescent="0.25">
      <c r="C30" s="216"/>
      <c r="D30" s="216"/>
      <c r="E30" s="216"/>
      <c r="F30" s="216"/>
      <c r="G30" s="216"/>
      <c r="H30" s="216"/>
      <c r="I30" s="216"/>
      <c r="J30" s="216"/>
      <c r="K30" s="216"/>
      <c r="L30" s="216">
        <f>L29/L28</f>
        <v>1.1144862156629893E-2</v>
      </c>
    </row>
    <row r="31" spans="2:14" outlineLevel="1" x14ac:dyDescent="0.25">
      <c r="B31" s="258" t="s">
        <v>279</v>
      </c>
      <c r="C31" s="208">
        <v>2011</v>
      </c>
      <c r="D31" s="208">
        <v>2012</v>
      </c>
      <c r="E31" s="208">
        <v>2013</v>
      </c>
      <c r="F31" s="208">
        <v>2014</v>
      </c>
      <c r="G31" s="208">
        <v>2015</v>
      </c>
      <c r="H31" s="208">
        <v>2016</v>
      </c>
      <c r="I31" s="208">
        <v>2017</v>
      </c>
      <c r="J31" s="208">
        <v>2018</v>
      </c>
      <c r="K31" s="208">
        <v>2019</v>
      </c>
      <c r="L31" s="208">
        <v>2020</v>
      </c>
      <c r="N31" s="1" t="s">
        <v>278</v>
      </c>
    </row>
    <row r="32" spans="2:14" outlineLevel="1" x14ac:dyDescent="0.25">
      <c r="B32" s="258"/>
      <c r="C32" s="1">
        <v>255.76</v>
      </c>
      <c r="D32" s="1">
        <v>257.94</v>
      </c>
      <c r="E32" s="1">
        <v>264.2</v>
      </c>
      <c r="F32" s="1">
        <v>270.97000000000003</v>
      </c>
      <c r="G32" s="1">
        <v>276.75</v>
      </c>
      <c r="H32" s="1">
        <v>283.54000000000002</v>
      </c>
      <c r="I32" s="1">
        <v>297.61</v>
      </c>
      <c r="J32" s="1">
        <v>329.83</v>
      </c>
      <c r="K32" s="1">
        <v>358.59</v>
      </c>
      <c r="L32" s="1">
        <v>379.69</v>
      </c>
    </row>
    <row r="33" spans="2:14" outlineLevel="1" x14ac:dyDescent="0.25">
      <c r="D33" s="197">
        <f>(D32-C32)/C32</f>
        <v>8.5236158898968056E-3</v>
      </c>
      <c r="E33" s="197">
        <f t="shared" ref="E33:L33" si="3">(E32-D32)/D32</f>
        <v>2.4269209893773711E-2</v>
      </c>
      <c r="F33" s="197">
        <f t="shared" si="3"/>
        <v>2.5624526873580768E-2</v>
      </c>
      <c r="G33" s="197">
        <f t="shared" si="3"/>
        <v>2.1330774624497072E-2</v>
      </c>
      <c r="H33" s="197">
        <f t="shared" si="3"/>
        <v>2.4534778681120219E-2</v>
      </c>
      <c r="I33" s="197">
        <f t="shared" si="3"/>
        <v>4.9622628200606589E-2</v>
      </c>
      <c r="J33" s="197">
        <f t="shared" si="3"/>
        <v>0.10826249117973176</v>
      </c>
      <c r="K33" s="197">
        <f t="shared" si="3"/>
        <v>8.7196434526877462E-2</v>
      </c>
      <c r="L33" s="197">
        <f t="shared" si="3"/>
        <v>5.8841573942385525E-2</v>
      </c>
      <c r="M33" s="217">
        <f>AVERAGE(D33:L33)</f>
        <v>4.5356225979163327E-2</v>
      </c>
    </row>
    <row r="34" spans="2:14" outlineLevel="1" x14ac:dyDescent="0.25">
      <c r="C34" s="181"/>
      <c r="D34" s="181"/>
      <c r="E34" s="181"/>
      <c r="F34" s="181"/>
      <c r="G34" s="181"/>
      <c r="H34" s="181"/>
      <c r="I34" s="219"/>
      <c r="J34" s="181"/>
      <c r="K34" s="181"/>
      <c r="L34" s="181"/>
    </row>
    <row r="35" spans="2:14" outlineLevel="1" x14ac:dyDescent="0.25">
      <c r="B35" s="259" t="s">
        <v>280</v>
      </c>
      <c r="C35" s="220">
        <v>2022</v>
      </c>
      <c r="D35" s="220">
        <v>2023</v>
      </c>
      <c r="E35" s="220">
        <v>2024</v>
      </c>
      <c r="F35" s="220">
        <v>2025</v>
      </c>
      <c r="G35" s="220">
        <v>2026</v>
      </c>
      <c r="H35" s="220">
        <v>2027</v>
      </c>
      <c r="I35" s="220">
        <v>2028</v>
      </c>
      <c r="J35" s="220">
        <v>2029</v>
      </c>
      <c r="K35" s="220">
        <v>2030</v>
      </c>
      <c r="L35" s="220">
        <v>2031</v>
      </c>
    </row>
    <row r="36" spans="2:14" outlineLevel="1" x14ac:dyDescent="0.25">
      <c r="B36" s="259"/>
      <c r="C36" s="218">
        <f>L32*(1+M33)*(1+M33)</f>
        <v>414.91370430534192</v>
      </c>
      <c r="D36" s="218">
        <f>C36*(1+$M$33)</f>
        <v>433.73262403966675</v>
      </c>
      <c r="E36" s="218">
        <f t="shared" ref="E36:K36" si="4">D36*(1+$M$33)</f>
        <v>453.40509895014537</v>
      </c>
      <c r="F36" s="218">
        <f t="shared" si="4"/>
        <v>473.96984307823305</v>
      </c>
      <c r="G36" s="218">
        <f t="shared" si="4"/>
        <v>495.46732638819799</v>
      </c>
      <c r="H36" s="218">
        <f t="shared" si="4"/>
        <v>517.93985440915299</v>
      </c>
      <c r="I36" s="218">
        <f t="shared" si="4"/>
        <v>541.43165148934952</v>
      </c>
      <c r="J36" s="218">
        <f t="shared" si="4"/>
        <v>565.98894782657203</v>
      </c>
      <c r="K36" s="218">
        <f t="shared" si="4"/>
        <v>591.66007044590287</v>
      </c>
      <c r="L36" s="218">
        <f>K36*(1+$M$33)</f>
        <v>618.49553830389493</v>
      </c>
    </row>
    <row r="37" spans="2:14" outlineLevel="1" x14ac:dyDescent="0.25">
      <c r="B37" s="210" t="s">
        <v>326</v>
      </c>
      <c r="C37" s="218">
        <f>C36*0.8</f>
        <v>331.93096344427357</v>
      </c>
      <c r="D37" s="218">
        <f t="shared" ref="D37:L37" si="5">D36*0.8</f>
        <v>346.98609923173342</v>
      </c>
      <c r="E37" s="218">
        <f t="shared" si="5"/>
        <v>362.72407916011633</v>
      </c>
      <c r="F37" s="218">
        <f t="shared" si="5"/>
        <v>379.17587446258648</v>
      </c>
      <c r="G37" s="218">
        <f t="shared" si="5"/>
        <v>396.37386111055844</v>
      </c>
      <c r="H37" s="218">
        <f t="shared" si="5"/>
        <v>414.3518835273224</v>
      </c>
      <c r="I37" s="218">
        <f t="shared" si="5"/>
        <v>433.14532119147964</v>
      </c>
      <c r="J37" s="218">
        <f t="shared" si="5"/>
        <v>452.79115826125764</v>
      </c>
      <c r="K37" s="218">
        <f t="shared" si="5"/>
        <v>473.3280563567223</v>
      </c>
      <c r="L37" s="218">
        <f t="shared" si="5"/>
        <v>494.79643064311597</v>
      </c>
    </row>
    <row r="38" spans="2:14" outlineLevel="1" x14ac:dyDescent="0.25">
      <c r="B38" s="210" t="s">
        <v>327</v>
      </c>
      <c r="C38" s="218">
        <f>C36*0.2</f>
        <v>82.982740861068393</v>
      </c>
      <c r="D38" s="218">
        <f t="shared" ref="D38:L38" si="6">D36*0.2</f>
        <v>86.746524807933355</v>
      </c>
      <c r="E38" s="218">
        <f t="shared" si="6"/>
        <v>90.681019790029083</v>
      </c>
      <c r="F38" s="218">
        <f t="shared" si="6"/>
        <v>94.793968615646619</v>
      </c>
      <c r="G38" s="218">
        <f t="shared" si="6"/>
        <v>99.093465277639609</v>
      </c>
      <c r="H38" s="218">
        <f t="shared" si="6"/>
        <v>103.5879708818306</v>
      </c>
      <c r="I38" s="218">
        <f t="shared" si="6"/>
        <v>108.28633029786991</v>
      </c>
      <c r="J38" s="218">
        <f t="shared" si="6"/>
        <v>113.19778956531441</v>
      </c>
      <c r="K38" s="218">
        <f t="shared" si="6"/>
        <v>118.33201408918057</v>
      </c>
      <c r="L38" s="218">
        <f t="shared" si="6"/>
        <v>123.69910766077899</v>
      </c>
    </row>
    <row r="39" spans="2:14" outlineLevel="1" x14ac:dyDescent="0.25"/>
    <row r="40" spans="2:14" outlineLevel="1" x14ac:dyDescent="0.25">
      <c r="B40" s="262" t="s">
        <v>284</v>
      </c>
      <c r="C40" s="262"/>
      <c r="D40" s="262"/>
      <c r="E40" s="262"/>
      <c r="F40" s="262"/>
      <c r="G40" s="262"/>
      <c r="H40" s="262"/>
      <c r="I40" s="262"/>
      <c r="J40" s="262"/>
      <c r="K40" s="262"/>
      <c r="L40" s="262"/>
    </row>
    <row r="41" spans="2:14" outlineLevel="1" x14ac:dyDescent="0.25"/>
    <row r="43" spans="2:14" x14ac:dyDescent="0.25">
      <c r="B43" s="256" t="s">
        <v>285</v>
      </c>
      <c r="C43" s="256"/>
      <c r="D43" s="256"/>
      <c r="E43" s="256"/>
      <c r="F43" s="256"/>
      <c r="G43" s="256"/>
      <c r="H43" s="256"/>
      <c r="I43" s="256"/>
      <c r="J43" s="256"/>
      <c r="K43" s="256"/>
      <c r="L43" s="256"/>
      <c r="M43" s="256"/>
      <c r="N43" s="256"/>
    </row>
    <row r="45" spans="2:14" outlineLevel="1" x14ac:dyDescent="0.25">
      <c r="B45" s="233" t="s">
        <v>150</v>
      </c>
      <c r="C45" s="223"/>
      <c r="D45" s="223"/>
      <c r="E45" s="223"/>
      <c r="F45" s="223"/>
      <c r="G45" s="223"/>
      <c r="H45" s="223"/>
      <c r="I45" s="224"/>
      <c r="J45" s="223"/>
      <c r="K45" s="223"/>
      <c r="L45" s="223"/>
      <c r="N45" s="1" t="s">
        <v>292</v>
      </c>
    </row>
    <row r="46" spans="2:14" outlineLevel="1" x14ac:dyDescent="0.25">
      <c r="B46" s="223"/>
      <c r="C46" s="223"/>
      <c r="D46" s="223"/>
      <c r="E46" s="223"/>
      <c r="F46" s="223"/>
      <c r="G46" s="223"/>
      <c r="H46" s="223"/>
      <c r="I46" s="224"/>
      <c r="J46" s="223"/>
      <c r="K46" s="223"/>
      <c r="L46" s="223"/>
    </row>
    <row r="47" spans="2:14" outlineLevel="1" x14ac:dyDescent="0.25">
      <c r="B47" s="257" t="s">
        <v>286</v>
      </c>
      <c r="C47" s="257"/>
      <c r="D47" s="257"/>
      <c r="E47" s="257"/>
      <c r="F47" s="257"/>
      <c r="G47" s="257"/>
      <c r="H47" s="257"/>
      <c r="I47" s="257"/>
      <c r="J47" s="257"/>
      <c r="K47" s="257"/>
      <c r="L47" s="257"/>
    </row>
    <row r="48" spans="2:14" outlineLevel="1" x14ac:dyDescent="0.25">
      <c r="B48" s="223"/>
      <c r="C48" s="223"/>
      <c r="D48" s="223"/>
      <c r="E48" s="223"/>
      <c r="F48" s="223"/>
      <c r="G48" s="223"/>
      <c r="H48" s="223"/>
      <c r="I48" s="224"/>
      <c r="J48" s="223"/>
      <c r="K48" s="223"/>
      <c r="L48" s="223"/>
    </row>
    <row r="49" spans="2:12" outlineLevel="1" x14ac:dyDescent="0.25">
      <c r="B49" s="223" t="s">
        <v>288</v>
      </c>
      <c r="C49" s="225">
        <v>2500</v>
      </c>
      <c r="D49" s="223"/>
      <c r="E49" s="223"/>
      <c r="F49" s="223"/>
      <c r="G49" s="223"/>
      <c r="H49" s="223"/>
      <c r="I49" s="224"/>
      <c r="J49" s="228">
        <v>2022</v>
      </c>
      <c r="K49" s="223"/>
      <c r="L49" s="223"/>
    </row>
    <row r="50" spans="2:12" outlineLevel="1" x14ac:dyDescent="0.25">
      <c r="B50" s="223" t="s">
        <v>289</v>
      </c>
      <c r="C50" s="225">
        <v>150</v>
      </c>
      <c r="D50" s="223"/>
      <c r="E50" s="223"/>
      <c r="F50" s="223"/>
      <c r="G50" s="223"/>
      <c r="H50" s="223"/>
      <c r="I50" s="224"/>
      <c r="J50" s="229">
        <f>-C51</f>
        <v>-375000</v>
      </c>
      <c r="K50" s="223"/>
      <c r="L50" s="223"/>
    </row>
    <row r="51" spans="2:12" outlineLevel="1" x14ac:dyDescent="0.25">
      <c r="B51" s="220" t="s">
        <v>287</v>
      </c>
      <c r="C51" s="226">
        <f>C49*C50</f>
        <v>375000</v>
      </c>
      <c r="D51" s="223"/>
      <c r="E51" s="223" t="s">
        <v>290</v>
      </c>
      <c r="F51" s="223"/>
      <c r="G51" s="223"/>
      <c r="H51" s="223"/>
      <c r="I51" s="224"/>
      <c r="J51" s="223"/>
      <c r="K51" s="223"/>
      <c r="L51" s="223"/>
    </row>
    <row r="52" spans="2:12" outlineLevel="1" x14ac:dyDescent="0.25">
      <c r="B52" s="220" t="s">
        <v>309</v>
      </c>
      <c r="C52" s="226"/>
      <c r="D52" s="223"/>
      <c r="E52" s="223" t="s">
        <v>310</v>
      </c>
      <c r="F52" s="223"/>
      <c r="G52" s="223"/>
      <c r="H52" s="223"/>
      <c r="I52" s="224"/>
      <c r="J52" s="228">
        <v>2027</v>
      </c>
      <c r="K52" s="223"/>
      <c r="L52" s="223"/>
    </row>
    <row r="53" spans="2:12" outlineLevel="1" x14ac:dyDescent="0.25">
      <c r="B53" s="223"/>
      <c r="C53" s="225"/>
      <c r="D53" s="223"/>
      <c r="E53" s="223"/>
      <c r="F53" s="223"/>
      <c r="G53" s="223"/>
      <c r="H53" s="223"/>
      <c r="I53" s="224"/>
      <c r="J53" s="229">
        <f>J50*0.15</f>
        <v>-56250</v>
      </c>
      <c r="K53" s="223"/>
      <c r="L53" s="223"/>
    </row>
    <row r="54" spans="2:12" outlineLevel="1" x14ac:dyDescent="0.25">
      <c r="B54" s="223" t="s">
        <v>301</v>
      </c>
      <c r="C54" s="225">
        <v>300</v>
      </c>
      <c r="D54" s="223"/>
      <c r="E54" s="223"/>
      <c r="F54" s="223"/>
      <c r="G54" s="223"/>
      <c r="H54" s="223"/>
      <c r="I54" s="224"/>
      <c r="J54" s="223"/>
      <c r="K54" s="223"/>
      <c r="L54" s="223"/>
    </row>
    <row r="55" spans="2:12" outlineLevel="1" x14ac:dyDescent="0.25">
      <c r="B55" s="223" t="s">
        <v>289</v>
      </c>
      <c r="C55" s="225">
        <v>800</v>
      </c>
      <c r="D55" s="223"/>
      <c r="E55" s="223"/>
      <c r="F55" s="223"/>
      <c r="G55" s="223"/>
      <c r="H55" s="223"/>
      <c r="I55" s="224"/>
      <c r="J55" s="228">
        <v>2022</v>
      </c>
      <c r="K55" s="228">
        <v>2023</v>
      </c>
      <c r="L55" s="223"/>
    </row>
    <row r="56" spans="2:12" outlineLevel="1" x14ac:dyDescent="0.25">
      <c r="B56" s="220" t="s">
        <v>300</v>
      </c>
      <c r="C56" s="226">
        <f>C54*C55</f>
        <v>240000</v>
      </c>
      <c r="D56" s="223"/>
      <c r="E56" s="223" t="s">
        <v>291</v>
      </c>
      <c r="F56" s="223"/>
      <c r="G56" s="223"/>
      <c r="H56" s="223"/>
      <c r="I56" s="224"/>
      <c r="J56" s="229">
        <f>-C56*0.8</f>
        <v>-192000</v>
      </c>
      <c r="K56" s="229">
        <f>-C56*0.2</f>
        <v>-48000</v>
      </c>
      <c r="L56" s="223"/>
    </row>
    <row r="57" spans="2:12" outlineLevel="1" x14ac:dyDescent="0.25">
      <c r="B57" s="220"/>
      <c r="C57" s="226"/>
      <c r="D57" s="223"/>
      <c r="E57" s="223"/>
      <c r="F57" s="223"/>
      <c r="G57" s="223"/>
      <c r="H57" s="223"/>
      <c r="I57" s="224"/>
      <c r="J57" s="230"/>
      <c r="K57" s="230"/>
      <c r="L57" s="223"/>
    </row>
    <row r="58" spans="2:12" outlineLevel="1" x14ac:dyDescent="0.25">
      <c r="B58" s="220" t="s">
        <v>246</v>
      </c>
      <c r="C58" s="226">
        <v>30000</v>
      </c>
      <c r="D58" s="223"/>
      <c r="E58" s="223" t="s">
        <v>291</v>
      </c>
      <c r="F58" s="223"/>
      <c r="G58" s="223"/>
      <c r="H58" s="223"/>
      <c r="I58" s="224"/>
      <c r="J58" s="228">
        <v>2022</v>
      </c>
      <c r="K58" s="228">
        <v>2023</v>
      </c>
      <c r="L58" s="223"/>
    </row>
    <row r="59" spans="2:12" outlineLevel="1" x14ac:dyDescent="0.25">
      <c r="B59" s="223"/>
      <c r="C59" s="225"/>
      <c r="D59" s="223"/>
      <c r="E59" s="223"/>
      <c r="F59" s="223"/>
      <c r="G59" s="223"/>
      <c r="H59" s="223"/>
      <c r="I59" s="224"/>
      <c r="J59" s="229">
        <f>-C58*0.8</f>
        <v>-24000</v>
      </c>
      <c r="K59" s="229">
        <f>-C58*0.2</f>
        <v>-6000</v>
      </c>
      <c r="L59" s="223"/>
    </row>
    <row r="60" spans="2:12" outlineLevel="1" x14ac:dyDescent="0.25">
      <c r="B60" s="223"/>
      <c r="C60" s="225"/>
      <c r="D60" s="223"/>
      <c r="E60" s="223"/>
      <c r="F60" s="223"/>
      <c r="G60" s="223"/>
      <c r="H60" s="223"/>
      <c r="I60" s="224"/>
      <c r="J60" s="230"/>
      <c r="K60" s="230"/>
      <c r="L60" s="223"/>
    </row>
    <row r="61" spans="2:12" outlineLevel="1" x14ac:dyDescent="0.25">
      <c r="B61" s="223" t="s">
        <v>293</v>
      </c>
      <c r="C61" s="226">
        <v>200000</v>
      </c>
      <c r="D61" s="223"/>
      <c r="E61" s="223" t="s">
        <v>291</v>
      </c>
      <c r="F61" s="223"/>
      <c r="G61" s="223"/>
      <c r="H61" s="223"/>
      <c r="I61" s="224"/>
      <c r="J61" s="228">
        <v>2022</v>
      </c>
      <c r="K61" s="228">
        <v>2023</v>
      </c>
      <c r="L61" s="223"/>
    </row>
    <row r="62" spans="2:12" outlineLevel="1" x14ac:dyDescent="0.25">
      <c r="B62" s="223"/>
      <c r="C62" s="225"/>
      <c r="D62" s="223"/>
      <c r="E62" s="223"/>
      <c r="F62" s="223"/>
      <c r="G62" s="223"/>
      <c r="H62" s="223"/>
      <c r="I62" s="224"/>
      <c r="J62" s="229">
        <f>-C61*0.8</f>
        <v>-160000</v>
      </c>
      <c r="K62" s="229">
        <f>-C61*0.2</f>
        <v>-40000</v>
      </c>
      <c r="L62" s="223"/>
    </row>
    <row r="63" spans="2:12" outlineLevel="1" x14ac:dyDescent="0.25">
      <c r="C63" s="179"/>
      <c r="D63" s="179"/>
    </row>
    <row r="64" spans="2:12" ht="24" outlineLevel="1" x14ac:dyDescent="0.25">
      <c r="B64" s="220" t="s">
        <v>302</v>
      </c>
      <c r="C64" s="231" t="s">
        <v>305</v>
      </c>
      <c r="D64" s="231" t="s">
        <v>137</v>
      </c>
    </row>
    <row r="65" spans="2:11" outlineLevel="1" x14ac:dyDescent="0.25">
      <c r="B65" s="210" t="s">
        <v>304</v>
      </c>
      <c r="C65" s="210">
        <v>30</v>
      </c>
      <c r="D65" s="212">
        <f>-(C51+C58)/C65</f>
        <v>-13500</v>
      </c>
      <c r="E65" s="210" t="s">
        <v>311</v>
      </c>
      <c r="F65" s="210"/>
      <c r="G65" s="210"/>
      <c r="H65" s="210"/>
      <c r="I65" s="232">
        <f>J53/5</f>
        <v>-11250</v>
      </c>
    </row>
    <row r="66" spans="2:11" outlineLevel="1" x14ac:dyDescent="0.25">
      <c r="B66" s="210" t="s">
        <v>303</v>
      </c>
      <c r="C66" s="210">
        <v>30</v>
      </c>
      <c r="D66" s="212">
        <f>-C56/C66</f>
        <v>-8000</v>
      </c>
    </row>
    <row r="67" spans="2:11" outlineLevel="1" x14ac:dyDescent="0.25">
      <c r="B67" s="210" t="s">
        <v>294</v>
      </c>
      <c r="C67" s="210">
        <v>10</v>
      </c>
      <c r="D67" s="212">
        <f>-C61/C67</f>
        <v>-20000</v>
      </c>
    </row>
    <row r="68" spans="2:11" s="223" customFormat="1" outlineLevel="1" x14ac:dyDescent="0.25">
      <c r="I68" s="224"/>
    </row>
    <row r="69" spans="2:11" s="223" customFormat="1" outlineLevel="1" x14ac:dyDescent="0.25">
      <c r="B69" s="220" t="s">
        <v>320</v>
      </c>
      <c r="I69" s="224"/>
    </row>
    <row r="70" spans="2:11" s="223" customFormat="1" outlineLevel="1" x14ac:dyDescent="0.25">
      <c r="B70" s="223" t="s">
        <v>248</v>
      </c>
      <c r="C70" s="234">
        <v>0.05</v>
      </c>
      <c r="D70" s="223" t="s">
        <v>321</v>
      </c>
      <c r="I70" s="224"/>
    </row>
    <row r="71" spans="2:11" s="223" customFormat="1" outlineLevel="1" x14ac:dyDescent="0.25">
      <c r="I71" s="224"/>
    </row>
    <row r="72" spans="2:11" outlineLevel="1" x14ac:dyDescent="0.25">
      <c r="B72" s="233" t="s">
        <v>152</v>
      </c>
      <c r="C72" s="210"/>
      <c r="D72" s="210"/>
      <c r="E72" s="210"/>
      <c r="F72" s="210"/>
      <c r="G72" s="210"/>
      <c r="H72" s="210"/>
      <c r="I72" s="211"/>
      <c r="J72" s="210"/>
      <c r="K72" s="210"/>
    </row>
    <row r="73" spans="2:11" outlineLevel="1" x14ac:dyDescent="0.25">
      <c r="B73" s="233"/>
      <c r="C73" s="210"/>
      <c r="D73" s="210"/>
      <c r="E73" s="210"/>
      <c r="F73" s="210"/>
      <c r="G73" s="210"/>
      <c r="H73" s="210"/>
      <c r="I73" s="211"/>
      <c r="J73" s="210"/>
      <c r="K73" s="210"/>
    </row>
    <row r="74" spans="2:11" outlineLevel="1" x14ac:dyDescent="0.25">
      <c r="B74" s="210" t="s">
        <v>312</v>
      </c>
      <c r="C74" s="210">
        <v>100</v>
      </c>
      <c r="D74" s="210"/>
      <c r="E74" s="210" t="s">
        <v>313</v>
      </c>
      <c r="F74" s="210"/>
      <c r="G74" s="210"/>
      <c r="H74" s="210"/>
      <c r="I74" s="211"/>
      <c r="J74" s="210"/>
      <c r="K74" s="210"/>
    </row>
    <row r="75" spans="2:11" outlineLevel="1" x14ac:dyDescent="0.25">
      <c r="B75" s="210" t="s">
        <v>314</v>
      </c>
      <c r="C75" s="210">
        <v>1000</v>
      </c>
      <c r="D75" s="210"/>
      <c r="E75" s="210" t="s">
        <v>315</v>
      </c>
      <c r="F75" s="210"/>
      <c r="G75" s="210"/>
      <c r="H75" s="210"/>
      <c r="I75" s="211"/>
      <c r="J75" s="210"/>
      <c r="K75" s="210"/>
    </row>
    <row r="76" spans="2:11" outlineLevel="1" x14ac:dyDescent="0.25">
      <c r="B76" s="210" t="s">
        <v>316</v>
      </c>
      <c r="C76" s="213">
        <v>0.05</v>
      </c>
      <c r="D76" s="210"/>
      <c r="E76" s="210"/>
      <c r="F76" s="210"/>
      <c r="G76" s="210"/>
      <c r="H76" s="210"/>
      <c r="I76" s="211"/>
      <c r="J76" s="210"/>
      <c r="K76" s="210"/>
    </row>
    <row r="77" spans="2:11" outlineLevel="1" x14ac:dyDescent="0.25">
      <c r="B77" s="220" t="s">
        <v>247</v>
      </c>
      <c r="C77" s="227">
        <f>C74*C75</f>
        <v>100000</v>
      </c>
      <c r="D77" s="210"/>
      <c r="E77" s="210"/>
      <c r="F77" s="210"/>
      <c r="G77" s="210"/>
      <c r="H77" s="210"/>
      <c r="I77" s="211"/>
      <c r="J77" s="210"/>
      <c r="K77" s="210"/>
    </row>
    <row r="78" spans="2:11" outlineLevel="1" x14ac:dyDescent="0.25">
      <c r="B78" s="210"/>
      <c r="C78" s="210"/>
      <c r="D78" s="210"/>
      <c r="E78" s="210"/>
      <c r="F78" s="210"/>
      <c r="G78" s="210"/>
      <c r="H78" s="210"/>
      <c r="I78" s="211"/>
      <c r="J78" s="210"/>
      <c r="K78" s="210"/>
    </row>
    <row r="79" spans="2:11" outlineLevel="1" x14ac:dyDescent="0.25">
      <c r="B79" s="210" t="s">
        <v>317</v>
      </c>
      <c r="C79" s="210">
        <v>6</v>
      </c>
      <c r="D79" s="210"/>
      <c r="E79" s="210"/>
      <c r="F79" s="210"/>
      <c r="G79" s="210"/>
      <c r="H79" s="210"/>
      <c r="I79" s="211"/>
      <c r="J79" s="210"/>
      <c r="K79" s="210"/>
    </row>
    <row r="80" spans="2:11" outlineLevel="1" x14ac:dyDescent="0.25">
      <c r="B80" s="210" t="s">
        <v>318</v>
      </c>
      <c r="C80" s="210">
        <f>C79*365</f>
        <v>2190</v>
      </c>
      <c r="D80" s="210" t="s">
        <v>319</v>
      </c>
      <c r="E80" s="210"/>
      <c r="F80" s="210"/>
      <c r="G80" s="210"/>
      <c r="H80" s="210"/>
      <c r="I80" s="211"/>
      <c r="J80" s="210"/>
      <c r="K80" s="210"/>
    </row>
    <row r="81" spans="2:14" x14ac:dyDescent="0.25">
      <c r="B81" s="210"/>
      <c r="C81" s="210"/>
      <c r="D81" s="210"/>
      <c r="E81" s="210"/>
      <c r="F81" s="210"/>
      <c r="G81" s="210"/>
      <c r="H81" s="210"/>
      <c r="I81" s="211"/>
      <c r="J81" s="210"/>
      <c r="K81" s="210"/>
    </row>
    <row r="82" spans="2:14" x14ac:dyDescent="0.25">
      <c r="B82" s="256" t="s">
        <v>329</v>
      </c>
      <c r="C82" s="256"/>
      <c r="D82" s="256"/>
      <c r="E82" s="256"/>
      <c r="F82" s="256"/>
      <c r="G82" s="256"/>
      <c r="H82" s="256"/>
      <c r="I82" s="256"/>
      <c r="J82" s="256"/>
      <c r="K82" s="256"/>
      <c r="L82" s="256"/>
      <c r="M82" s="256"/>
      <c r="N82" s="256"/>
    </row>
    <row r="83" spans="2:14" x14ac:dyDescent="0.25">
      <c r="B83" s="210"/>
      <c r="C83" s="210"/>
      <c r="D83" s="210"/>
      <c r="E83" s="210"/>
      <c r="F83" s="210"/>
      <c r="G83" s="210"/>
      <c r="H83" s="210"/>
      <c r="I83" s="211"/>
      <c r="J83" s="210"/>
      <c r="K83" s="210"/>
    </row>
    <row r="84" spans="2:14" x14ac:dyDescent="0.25">
      <c r="B84" s="220" t="s">
        <v>330</v>
      </c>
      <c r="C84" s="210"/>
      <c r="D84" s="210"/>
      <c r="E84" s="210"/>
      <c r="F84" s="210"/>
      <c r="G84" s="210"/>
      <c r="H84" s="210"/>
      <c r="I84" s="211"/>
      <c r="J84" s="210"/>
      <c r="K84" s="210"/>
    </row>
    <row r="85" spans="2:14" ht="12" customHeight="1" x14ac:dyDescent="0.25">
      <c r="B85" s="253" t="s">
        <v>331</v>
      </c>
      <c r="C85" s="253"/>
      <c r="D85" s="253"/>
      <c r="E85" s="253"/>
      <c r="F85" s="253"/>
      <c r="G85" s="253"/>
      <c r="H85" s="253"/>
      <c r="I85" s="211"/>
      <c r="J85" s="210"/>
      <c r="K85" s="210"/>
    </row>
    <row r="86" spans="2:14" x14ac:dyDescent="0.25">
      <c r="B86" s="253"/>
      <c r="C86" s="253"/>
      <c r="D86" s="253"/>
      <c r="E86" s="253"/>
      <c r="F86" s="253"/>
      <c r="G86" s="253"/>
      <c r="H86" s="253"/>
    </row>
    <row r="87" spans="2:14" x14ac:dyDescent="0.25">
      <c r="B87" s="253"/>
      <c r="C87" s="253"/>
      <c r="D87" s="253"/>
      <c r="E87" s="253"/>
      <c r="F87" s="253"/>
      <c r="G87" s="253"/>
      <c r="H87" s="253"/>
    </row>
    <row r="88" spans="2:14" x14ac:dyDescent="0.25">
      <c r="B88" s="253" t="s">
        <v>332</v>
      </c>
      <c r="C88" s="253"/>
      <c r="D88" s="253"/>
      <c r="E88" s="253"/>
      <c r="F88" s="253"/>
      <c r="G88" s="253"/>
      <c r="H88" s="253"/>
    </row>
    <row r="89" spans="2:14" x14ac:dyDescent="0.25">
      <c r="B89" s="254" t="s">
        <v>333</v>
      </c>
      <c r="C89" s="254"/>
      <c r="D89" s="254"/>
      <c r="E89" s="254"/>
      <c r="F89" s="254"/>
      <c r="G89" s="254"/>
      <c r="H89" s="254"/>
    </row>
    <row r="90" spans="2:14" x14ac:dyDescent="0.25">
      <c r="B90" s="239"/>
      <c r="C90" s="239"/>
      <c r="D90" s="239"/>
      <c r="E90" s="239"/>
      <c r="F90" s="239"/>
      <c r="G90" s="239"/>
      <c r="H90" s="239"/>
    </row>
    <row r="91" spans="2:14" x14ac:dyDescent="0.25">
      <c r="B91" s="220" t="s">
        <v>188</v>
      </c>
      <c r="C91" s="210"/>
    </row>
    <row r="92" spans="2:14" x14ac:dyDescent="0.25">
      <c r="B92" s="255" t="s">
        <v>334</v>
      </c>
      <c r="C92" s="255"/>
      <c r="D92" s="255"/>
      <c r="E92" s="255"/>
      <c r="F92" s="255"/>
      <c r="G92" s="255"/>
      <c r="H92" s="255"/>
    </row>
    <row r="93" spans="2:14" x14ac:dyDescent="0.25">
      <c r="B93" s="255"/>
      <c r="C93" s="255"/>
      <c r="D93" s="255"/>
      <c r="E93" s="255"/>
      <c r="F93" s="255"/>
      <c r="G93" s="255"/>
      <c r="H93" s="255"/>
    </row>
    <row r="94" spans="2:14" x14ac:dyDescent="0.25">
      <c r="B94" s="253" t="s">
        <v>335</v>
      </c>
      <c r="C94" s="253"/>
      <c r="D94" s="253"/>
      <c r="E94" s="253"/>
      <c r="F94" s="253"/>
      <c r="G94" s="253"/>
      <c r="H94" s="253"/>
    </row>
    <row r="95" spans="2:14" x14ac:dyDescent="0.25">
      <c r="B95" s="254" t="s">
        <v>336</v>
      </c>
      <c r="C95" s="254"/>
      <c r="D95" s="254"/>
      <c r="E95" s="254"/>
      <c r="F95" s="254"/>
      <c r="G95" s="254"/>
      <c r="H95" s="254"/>
    </row>
    <row r="96" spans="2:14" x14ac:dyDescent="0.25">
      <c r="B96" s="254" t="s">
        <v>342</v>
      </c>
      <c r="C96" s="254"/>
      <c r="D96" s="254"/>
      <c r="E96" s="254"/>
      <c r="F96" s="254"/>
      <c r="G96" s="254"/>
      <c r="H96" s="254"/>
    </row>
    <row r="97" spans="2:8" x14ac:dyDescent="0.25">
      <c r="B97" s="253" t="s">
        <v>343</v>
      </c>
      <c r="C97" s="253"/>
      <c r="D97" s="253"/>
      <c r="E97" s="253"/>
      <c r="F97" s="253"/>
      <c r="G97" s="253"/>
      <c r="H97" s="253"/>
    </row>
    <row r="98" spans="2:8" x14ac:dyDescent="0.25">
      <c r="B98" s="253"/>
      <c r="C98" s="253"/>
      <c r="D98" s="253"/>
      <c r="E98" s="253"/>
      <c r="F98" s="253"/>
      <c r="G98" s="253"/>
      <c r="H98" s="253"/>
    </row>
    <row r="99" spans="2:8" ht="24" x14ac:dyDescent="0.25">
      <c r="B99" s="238" t="s">
        <v>344</v>
      </c>
      <c r="C99" s="243" t="s">
        <v>345</v>
      </c>
      <c r="D99" s="243" t="s">
        <v>346</v>
      </c>
      <c r="E99" s="243" t="s">
        <v>347</v>
      </c>
      <c r="F99" s="245" t="s">
        <v>348</v>
      </c>
      <c r="G99" s="238"/>
      <c r="H99" s="238"/>
    </row>
    <row r="100" spans="2:8" x14ac:dyDescent="0.25">
      <c r="B100" s="210"/>
      <c r="C100" s="244">
        <f>J50+J53+J56+K56+J62+K62</f>
        <v>-871250</v>
      </c>
      <c r="D100" s="244">
        <f>Projekts!O32</f>
        <v>-471250</v>
      </c>
      <c r="E100" s="244">
        <f>C100-D100</f>
        <v>-400000</v>
      </c>
      <c r="F100" s="246">
        <f>-E100</f>
        <v>400000</v>
      </c>
    </row>
    <row r="101" spans="2:8" x14ac:dyDescent="0.25">
      <c r="B101" s="220" t="s">
        <v>189</v>
      </c>
      <c r="C101" s="210"/>
    </row>
    <row r="102" spans="2:8" x14ac:dyDescent="0.25">
      <c r="B102" s="253" t="s">
        <v>355</v>
      </c>
      <c r="C102" s="253"/>
      <c r="D102" s="253"/>
      <c r="E102" s="253"/>
      <c r="F102" s="253"/>
      <c r="G102" s="253"/>
      <c r="H102" s="253"/>
    </row>
    <row r="103" spans="2:8" x14ac:dyDescent="0.25">
      <c r="B103" s="253"/>
      <c r="C103" s="253"/>
      <c r="D103" s="253"/>
      <c r="E103" s="253"/>
      <c r="F103" s="253"/>
      <c r="G103" s="253"/>
      <c r="H103" s="253"/>
    </row>
    <row r="104" spans="2:8" x14ac:dyDescent="0.25">
      <c r="B104" s="253"/>
      <c r="C104" s="253"/>
      <c r="D104" s="253"/>
      <c r="E104" s="253"/>
      <c r="F104" s="253"/>
      <c r="G104" s="253"/>
      <c r="H104" s="253"/>
    </row>
    <row r="105" spans="2:8" x14ac:dyDescent="0.25">
      <c r="B105" s="253"/>
      <c r="C105" s="253"/>
      <c r="D105" s="253"/>
      <c r="E105" s="253"/>
      <c r="F105" s="253"/>
      <c r="G105" s="253"/>
      <c r="H105" s="253"/>
    </row>
    <row r="106" spans="2:8" x14ac:dyDescent="0.25">
      <c r="B106" s="253"/>
      <c r="C106" s="253"/>
      <c r="D106" s="253"/>
      <c r="E106" s="253"/>
      <c r="F106" s="253"/>
      <c r="G106" s="253"/>
      <c r="H106" s="253"/>
    </row>
    <row r="107" spans="2:8" x14ac:dyDescent="0.25">
      <c r="B107" s="253"/>
      <c r="C107" s="253"/>
      <c r="D107" s="253"/>
      <c r="E107" s="253"/>
      <c r="F107" s="253"/>
      <c r="G107" s="253"/>
      <c r="H107" s="253"/>
    </row>
    <row r="108" spans="2:8" x14ac:dyDescent="0.25">
      <c r="B108" s="210"/>
      <c r="C108" s="210"/>
    </row>
    <row r="109" spans="2:8" x14ac:dyDescent="0.25">
      <c r="B109" s="220" t="s">
        <v>190</v>
      </c>
      <c r="C109" s="210"/>
    </row>
    <row r="110" spans="2:8" x14ac:dyDescent="0.25">
      <c r="B110" s="253" t="s">
        <v>337</v>
      </c>
      <c r="C110" s="253"/>
      <c r="D110" s="253"/>
      <c r="E110" s="253"/>
      <c r="F110" s="253"/>
      <c r="G110" s="253"/>
      <c r="H110" s="253"/>
    </row>
    <row r="111" spans="2:8" x14ac:dyDescent="0.25">
      <c r="B111" s="253"/>
      <c r="C111" s="253"/>
      <c r="D111" s="253"/>
      <c r="E111" s="253"/>
      <c r="F111" s="253"/>
      <c r="G111" s="253"/>
      <c r="H111" s="253"/>
    </row>
    <row r="112" spans="2:8" x14ac:dyDescent="0.25">
      <c r="B112" s="210"/>
      <c r="C112" s="210"/>
    </row>
    <row r="113" spans="2:3" x14ac:dyDescent="0.25">
      <c r="B113" s="210"/>
      <c r="C113" s="210"/>
    </row>
    <row r="114" spans="2:3" x14ac:dyDescent="0.25">
      <c r="B114" s="210"/>
      <c r="C114" s="210"/>
    </row>
    <row r="115" spans="2:3" x14ac:dyDescent="0.25">
      <c r="B115" s="210"/>
      <c r="C115" s="210"/>
    </row>
    <row r="116" spans="2:3" x14ac:dyDescent="0.25">
      <c r="B116" s="210"/>
      <c r="C116" s="210"/>
    </row>
    <row r="117" spans="2:3" x14ac:dyDescent="0.25">
      <c r="B117" s="210"/>
      <c r="C117" s="210"/>
    </row>
    <row r="118" spans="2:3" x14ac:dyDescent="0.25">
      <c r="B118" s="210"/>
      <c r="C118" s="210"/>
    </row>
    <row r="119" spans="2:3" x14ac:dyDescent="0.25">
      <c r="B119" s="210"/>
      <c r="C119" s="210"/>
    </row>
    <row r="120" spans="2:3" x14ac:dyDescent="0.25">
      <c r="B120" s="210"/>
      <c r="C120" s="210"/>
    </row>
    <row r="121" spans="2:3" x14ac:dyDescent="0.25">
      <c r="B121" s="210"/>
      <c r="C121" s="210"/>
    </row>
    <row r="122" spans="2:3" x14ac:dyDescent="0.25">
      <c r="B122" s="210"/>
      <c r="C122" s="210"/>
    </row>
    <row r="123" spans="2:3" x14ac:dyDescent="0.25">
      <c r="B123" s="210"/>
      <c r="C123" s="210"/>
    </row>
    <row r="124" spans="2:3" x14ac:dyDescent="0.25">
      <c r="B124" s="210"/>
      <c r="C124" s="210"/>
    </row>
    <row r="125" spans="2:3" x14ac:dyDescent="0.25">
      <c r="B125" s="210"/>
      <c r="C125" s="210"/>
    </row>
    <row r="126" spans="2:3" x14ac:dyDescent="0.25">
      <c r="B126" s="210"/>
      <c r="C126" s="210"/>
    </row>
    <row r="127" spans="2:3" x14ac:dyDescent="0.25">
      <c r="B127" s="210"/>
      <c r="C127" s="210"/>
    </row>
    <row r="128" spans="2:3" x14ac:dyDescent="0.25">
      <c r="B128" s="210"/>
      <c r="C128" s="210"/>
    </row>
    <row r="129" spans="2:3" x14ac:dyDescent="0.25">
      <c r="B129" s="210"/>
      <c r="C129" s="210"/>
    </row>
    <row r="130" spans="2:3" x14ac:dyDescent="0.25">
      <c r="B130" s="210"/>
      <c r="C130" s="210"/>
    </row>
    <row r="131" spans="2:3" x14ac:dyDescent="0.25">
      <c r="B131" s="210"/>
      <c r="C131" s="210"/>
    </row>
    <row r="132" spans="2:3" x14ac:dyDescent="0.25">
      <c r="B132" s="210"/>
      <c r="C132" s="210"/>
    </row>
    <row r="133" spans="2:3" x14ac:dyDescent="0.25">
      <c r="B133" s="210"/>
      <c r="C133" s="210"/>
    </row>
    <row r="134" spans="2:3" x14ac:dyDescent="0.25">
      <c r="B134" s="210"/>
      <c r="C134" s="210"/>
    </row>
    <row r="135" spans="2:3" x14ac:dyDescent="0.25">
      <c r="B135" s="210"/>
      <c r="C135" s="210"/>
    </row>
    <row r="136" spans="2:3" x14ac:dyDescent="0.25">
      <c r="B136" s="210"/>
      <c r="C136" s="210"/>
    </row>
    <row r="137" spans="2:3" x14ac:dyDescent="0.25">
      <c r="B137" s="210"/>
      <c r="C137" s="210"/>
    </row>
    <row r="138" spans="2:3" x14ac:dyDescent="0.25">
      <c r="B138" s="210"/>
      <c r="C138" s="210"/>
    </row>
    <row r="139" spans="2:3" x14ac:dyDescent="0.25">
      <c r="B139" s="210"/>
      <c r="C139" s="210"/>
    </row>
    <row r="140" spans="2:3" x14ac:dyDescent="0.25">
      <c r="B140" s="210"/>
      <c r="C140" s="210"/>
    </row>
    <row r="141" spans="2:3" x14ac:dyDescent="0.25">
      <c r="B141" s="210"/>
      <c r="C141" s="210"/>
    </row>
  </sheetData>
  <mergeCells count="20">
    <mergeCell ref="B6:N6"/>
    <mergeCell ref="B3:I3"/>
    <mergeCell ref="B10:B11"/>
    <mergeCell ref="B40:L40"/>
    <mergeCell ref="B82:N82"/>
    <mergeCell ref="B43:N43"/>
    <mergeCell ref="B47:L47"/>
    <mergeCell ref="B95:H95"/>
    <mergeCell ref="B85:H87"/>
    <mergeCell ref="B24:K25"/>
    <mergeCell ref="B31:B32"/>
    <mergeCell ref="B35:B36"/>
    <mergeCell ref="B89:H89"/>
    <mergeCell ref="B88:H88"/>
    <mergeCell ref="B102:H107"/>
    <mergeCell ref="B110:H111"/>
    <mergeCell ref="B96:H96"/>
    <mergeCell ref="B97:H98"/>
    <mergeCell ref="B92:H93"/>
    <mergeCell ref="B94:H9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O75"/>
  <sheetViews>
    <sheetView workbookViewId="0">
      <pane xSplit="3" ySplit="6" topLeftCell="D7" activePane="bottomRight" state="frozen"/>
      <selection pane="topRight" activeCell="D1" sqref="D1"/>
      <selection pane="bottomLeft" activeCell="A7" sqref="A7"/>
      <selection pane="bottomRight" activeCell="D22" sqref="D22:M22"/>
    </sheetView>
  </sheetViews>
  <sheetFormatPr defaultColWidth="0" defaultRowHeight="12" zeroHeight="1" x14ac:dyDescent="0.25"/>
  <cols>
    <col min="1" max="1" width="8.88671875" style="1" customWidth="1"/>
    <col min="2" max="2" width="40.6640625" style="1" customWidth="1"/>
    <col min="3" max="3" width="8.88671875" style="41" customWidth="1"/>
    <col min="4" max="13" width="8.88671875" style="1" customWidth="1"/>
    <col min="14" max="14" width="8.88671875" style="1" hidden="1" customWidth="1"/>
    <col min="15" max="15" width="8.88671875" style="1" customWidth="1"/>
    <col min="16" max="16384" width="8.88671875" style="1" hidden="1"/>
  </cols>
  <sheetData>
    <row r="1" spans="2:15" x14ac:dyDescent="0.25"/>
    <row r="2" spans="2:15" x14ac:dyDescent="0.25"/>
    <row r="3" spans="2:15" x14ac:dyDescent="0.25"/>
    <row r="4" spans="2:15" x14ac:dyDescent="0.25">
      <c r="B4" s="54" t="s">
        <v>170</v>
      </c>
      <c r="D4" s="66">
        <v>2022</v>
      </c>
      <c r="E4" s="66">
        <v>2023</v>
      </c>
      <c r="F4" s="66">
        <v>2024</v>
      </c>
      <c r="G4" s="66">
        <v>2025</v>
      </c>
      <c r="H4" s="66">
        <v>2026</v>
      </c>
      <c r="I4" s="66">
        <v>2027</v>
      </c>
      <c r="J4" s="66">
        <v>2028</v>
      </c>
      <c r="K4" s="66">
        <v>2029</v>
      </c>
      <c r="L4" s="66">
        <v>2030</v>
      </c>
      <c r="M4" s="66">
        <v>2031</v>
      </c>
      <c r="N4" s="67"/>
    </row>
    <row r="5" spans="2:15" x14ac:dyDescent="0.25">
      <c r="B5" s="54" t="s">
        <v>169</v>
      </c>
      <c r="D5" s="64">
        <v>1</v>
      </c>
      <c r="E5" s="64">
        <v>2</v>
      </c>
      <c r="F5" s="64">
        <v>3</v>
      </c>
      <c r="G5" s="64">
        <v>4</v>
      </c>
      <c r="H5" s="64">
        <v>5</v>
      </c>
      <c r="I5" s="64">
        <v>6</v>
      </c>
      <c r="J5" s="64">
        <v>7</v>
      </c>
      <c r="K5" s="64">
        <v>8</v>
      </c>
      <c r="L5" s="64">
        <v>9</v>
      </c>
      <c r="M5" s="64">
        <v>10</v>
      </c>
      <c r="N5" s="61" t="s">
        <v>111</v>
      </c>
    </row>
    <row r="6" spans="2:15" x14ac:dyDescent="0.25"/>
    <row r="7" spans="2:15" x14ac:dyDescent="0.25">
      <c r="C7" s="136" t="s">
        <v>226</v>
      </c>
      <c r="D7" s="114"/>
      <c r="E7" s="114"/>
      <c r="F7" s="114"/>
      <c r="G7" s="114"/>
      <c r="H7" s="114"/>
      <c r="I7" s="114"/>
      <c r="J7" s="114"/>
      <c r="K7" s="114"/>
      <c r="L7" s="114"/>
      <c r="M7" s="114"/>
      <c r="N7" s="114"/>
    </row>
    <row r="8" spans="2:15" x14ac:dyDescent="0.25">
      <c r="B8" s="4" t="s">
        <v>223</v>
      </c>
      <c r="D8" s="114"/>
      <c r="E8" s="114"/>
      <c r="F8" s="114"/>
      <c r="G8" s="114"/>
      <c r="H8" s="114"/>
      <c r="I8" s="114"/>
      <c r="J8" s="114"/>
      <c r="K8" s="114"/>
      <c r="L8" s="114"/>
      <c r="M8" s="114"/>
      <c r="N8" s="114"/>
    </row>
    <row r="9" spans="2:15" x14ac:dyDescent="0.25">
      <c r="B9" s="1" t="s">
        <v>222</v>
      </c>
      <c r="C9" s="41" t="s">
        <v>211</v>
      </c>
      <c r="D9" s="161">
        <v>0.02</v>
      </c>
      <c r="E9" s="161">
        <v>0.02</v>
      </c>
      <c r="F9" s="161">
        <v>0.02</v>
      </c>
      <c r="G9" s="161">
        <v>0.02</v>
      </c>
      <c r="H9" s="161">
        <v>0.02</v>
      </c>
      <c r="I9" s="161">
        <v>0.02</v>
      </c>
      <c r="J9" s="161">
        <v>0.02</v>
      </c>
      <c r="K9" s="161">
        <v>0.02</v>
      </c>
      <c r="L9" s="161">
        <v>0.02</v>
      </c>
      <c r="M9" s="161">
        <v>0.02</v>
      </c>
      <c r="N9" s="161">
        <f t="shared" ref="N9" si="0">2%*1.05</f>
        <v>2.1000000000000001E-2</v>
      </c>
    </row>
    <row r="10" spans="2:15" x14ac:dyDescent="0.25">
      <c r="B10" s="1" t="s">
        <v>275</v>
      </c>
      <c r="C10" s="41" t="s">
        <v>277</v>
      </c>
      <c r="D10" s="114">
        <v>0</v>
      </c>
      <c r="E10" s="114">
        <f>100</f>
        <v>100</v>
      </c>
      <c r="F10" s="114">
        <f>Pieņēmumi!$L$29</f>
        <v>150</v>
      </c>
      <c r="G10" s="114">
        <f>Pieņēmumi!$L$29</f>
        <v>150</v>
      </c>
      <c r="H10" s="114">
        <f>Pieņēmumi!$L$29</f>
        <v>150</v>
      </c>
      <c r="I10" s="114">
        <f>Pieņēmumi!$L$29</f>
        <v>150</v>
      </c>
      <c r="J10" s="114">
        <f>Pieņēmumi!$L$29</f>
        <v>150</v>
      </c>
      <c r="K10" s="114">
        <f>Pieņēmumi!$L$29</f>
        <v>150</v>
      </c>
      <c r="L10" s="114">
        <f>Pieņēmumi!$L$29</f>
        <v>150</v>
      </c>
      <c r="M10" s="114">
        <f>Pieņēmumi!$L$29</f>
        <v>150</v>
      </c>
      <c r="N10" s="114"/>
    </row>
    <row r="11" spans="2:15" x14ac:dyDescent="0.25">
      <c r="B11" s="1" t="s">
        <v>276</v>
      </c>
      <c r="C11" s="41" t="s">
        <v>137</v>
      </c>
      <c r="D11" s="114">
        <f>Pieņēmumi!C36</f>
        <v>414.91370430534192</v>
      </c>
      <c r="E11" s="114">
        <f>Pieņēmumi!D36</f>
        <v>433.73262403966675</v>
      </c>
      <c r="F11" s="114">
        <f>Pieņēmumi!E36</f>
        <v>453.40509895014537</v>
      </c>
      <c r="G11" s="114">
        <f>Pieņēmumi!F36</f>
        <v>473.96984307823305</v>
      </c>
      <c r="H11" s="114">
        <f>Pieņēmumi!G36</f>
        <v>495.46732638819799</v>
      </c>
      <c r="I11" s="114">
        <f>Pieņēmumi!H36</f>
        <v>517.93985440915299</v>
      </c>
      <c r="J11" s="114">
        <f>Pieņēmumi!I36</f>
        <v>541.43165148934952</v>
      </c>
      <c r="K11" s="114">
        <f>Pieņēmumi!J36</f>
        <v>565.98894782657203</v>
      </c>
      <c r="L11" s="114">
        <f>Pieņēmumi!K36</f>
        <v>591.66007044590287</v>
      </c>
      <c r="M11" s="114">
        <f>Pieņēmumi!L36</f>
        <v>618.49553830389493</v>
      </c>
      <c r="N11" s="114">
        <f>Pieņēmumi!M36</f>
        <v>0</v>
      </c>
    </row>
    <row r="12" spans="2:15" x14ac:dyDescent="0.25">
      <c r="B12" s="1" t="s">
        <v>281</v>
      </c>
      <c r="C12" s="41" t="s">
        <v>137</v>
      </c>
      <c r="D12" s="114">
        <f>Pieņēmumi!C37</f>
        <v>331.93096344427357</v>
      </c>
      <c r="E12" s="114">
        <f>Pieņēmumi!D37</f>
        <v>346.98609923173342</v>
      </c>
      <c r="F12" s="114">
        <f>Pieņēmumi!E37</f>
        <v>362.72407916011633</v>
      </c>
      <c r="G12" s="114">
        <f>Pieņēmumi!F37</f>
        <v>379.17587446258648</v>
      </c>
      <c r="H12" s="114">
        <f>Pieņēmumi!G37</f>
        <v>396.37386111055844</v>
      </c>
      <c r="I12" s="114">
        <f>Pieņēmumi!H37</f>
        <v>414.3518835273224</v>
      </c>
      <c r="J12" s="114">
        <f>Pieņēmumi!I37</f>
        <v>433.14532119147964</v>
      </c>
      <c r="K12" s="114">
        <f>Pieņēmumi!J37</f>
        <v>452.79115826125764</v>
      </c>
      <c r="L12" s="114">
        <f>Pieņēmumi!K37</f>
        <v>473.3280563567223</v>
      </c>
      <c r="M12" s="114">
        <f>Pieņēmumi!L37</f>
        <v>494.79643064311597</v>
      </c>
      <c r="N12" s="114"/>
    </row>
    <row r="13" spans="2:15" x14ac:dyDescent="0.25">
      <c r="B13" s="1" t="s">
        <v>111</v>
      </c>
      <c r="D13" s="114"/>
      <c r="E13" s="114"/>
      <c r="F13" s="114"/>
      <c r="G13" s="114"/>
      <c r="H13" s="114"/>
      <c r="I13" s="114"/>
      <c r="J13" s="114"/>
      <c r="K13" s="114"/>
      <c r="L13" s="114"/>
      <c r="M13" s="114"/>
      <c r="N13" s="114"/>
    </row>
    <row r="14" spans="2:15" x14ac:dyDescent="0.25">
      <c r="D14" s="114"/>
      <c r="E14" s="114"/>
      <c r="F14" s="114"/>
      <c r="G14" s="114"/>
      <c r="H14" s="114"/>
      <c r="I14" s="114"/>
      <c r="J14" s="114"/>
      <c r="K14" s="114"/>
      <c r="L14" s="114"/>
      <c r="M14" s="114"/>
      <c r="N14" s="114"/>
    </row>
    <row r="15" spans="2:15" x14ac:dyDescent="0.25">
      <c r="B15" s="133" t="s">
        <v>224</v>
      </c>
      <c r="C15" s="149"/>
      <c r="D15" s="134"/>
      <c r="E15" s="134"/>
      <c r="F15" s="134"/>
      <c r="G15" s="134"/>
      <c r="H15" s="134"/>
      <c r="I15" s="134"/>
      <c r="J15" s="134"/>
      <c r="K15" s="134"/>
      <c r="L15" s="134"/>
      <c r="M15" s="134"/>
      <c r="N15" s="134"/>
    </row>
    <row r="16" spans="2:15" x14ac:dyDescent="0.25">
      <c r="B16" s="236" t="s">
        <v>328</v>
      </c>
      <c r="C16" s="148" t="s">
        <v>137</v>
      </c>
      <c r="D16" s="150">
        <f>SUM(D17:D18)</f>
        <v>0</v>
      </c>
      <c r="E16" s="150">
        <f t="shared" ref="E16:M16" si="1">SUM(E17:E18)</f>
        <v>43373.26240396667</v>
      </c>
      <c r="F16" s="150">
        <f t="shared" si="1"/>
        <v>68010.764842521807</v>
      </c>
      <c r="G16" s="150">
        <f t="shared" si="1"/>
        <v>71095.476461734957</v>
      </c>
      <c r="H16" s="150">
        <f t="shared" si="1"/>
        <v>74320.098958229704</v>
      </c>
      <c r="I16" s="150">
        <f t="shared" si="1"/>
        <v>77690.978161372943</v>
      </c>
      <c r="J16" s="150">
        <f t="shared" si="1"/>
        <v>81214.747723402426</v>
      </c>
      <c r="K16" s="150">
        <f t="shared" si="1"/>
        <v>84898.342173985802</v>
      </c>
      <c r="L16" s="150">
        <f t="shared" si="1"/>
        <v>88749.010566885423</v>
      </c>
      <c r="M16" s="150">
        <f t="shared" si="1"/>
        <v>92774.330745584244</v>
      </c>
      <c r="N16" s="134"/>
      <c r="O16" s="114">
        <f t="shared" ref="O16:O35" si="2">SUM(D16:M16)</f>
        <v>682127.01203768398</v>
      </c>
    </row>
    <row r="17" spans="2:15" x14ac:dyDescent="0.25">
      <c r="B17" s="6" t="s">
        <v>249</v>
      </c>
      <c r="C17" s="41" t="s">
        <v>137</v>
      </c>
      <c r="D17" s="114">
        <f>D10*D12</f>
        <v>0</v>
      </c>
      <c r="E17" s="114">
        <f t="shared" ref="E17:M17" si="3">E10*E12</f>
        <v>34698.609923173339</v>
      </c>
      <c r="F17" s="114">
        <f t="shared" si="3"/>
        <v>54408.61187401745</v>
      </c>
      <c r="G17" s="114">
        <f t="shared" si="3"/>
        <v>56876.381169387969</v>
      </c>
      <c r="H17" s="114">
        <f t="shared" si="3"/>
        <v>59456.079166583768</v>
      </c>
      <c r="I17" s="114">
        <f t="shared" si="3"/>
        <v>62152.78252909836</v>
      </c>
      <c r="J17" s="114">
        <f t="shared" si="3"/>
        <v>64971.798178721947</v>
      </c>
      <c r="K17" s="114">
        <f t="shared" si="3"/>
        <v>67918.673739188642</v>
      </c>
      <c r="L17" s="114">
        <f t="shared" si="3"/>
        <v>70999.208453508341</v>
      </c>
      <c r="M17" s="114">
        <f t="shared" si="3"/>
        <v>74219.464596467398</v>
      </c>
      <c r="N17" s="150"/>
      <c r="O17" s="114">
        <f t="shared" si="2"/>
        <v>545701.60963014711</v>
      </c>
    </row>
    <row r="18" spans="2:15" x14ac:dyDescent="0.25">
      <c r="B18" s="6" t="s">
        <v>282</v>
      </c>
      <c r="C18" s="41" t="s">
        <v>137</v>
      </c>
      <c r="D18" s="114">
        <f>D10*Pieņēmumi!C38</f>
        <v>0</v>
      </c>
      <c r="E18" s="114">
        <f>E10*Pieņēmumi!D38</f>
        <v>8674.6524807933347</v>
      </c>
      <c r="F18" s="114">
        <f>F10*Pieņēmumi!E38</f>
        <v>13602.152968504362</v>
      </c>
      <c r="G18" s="114">
        <f>G10*Pieņēmumi!F38</f>
        <v>14219.095292346992</v>
      </c>
      <c r="H18" s="114">
        <f>H10*Pieņēmumi!G38</f>
        <v>14864.019791645942</v>
      </c>
      <c r="I18" s="114">
        <f>I10*Pieņēmumi!H38</f>
        <v>15538.19563227459</v>
      </c>
      <c r="J18" s="114">
        <f>J10*Pieņēmumi!I38</f>
        <v>16242.949544680487</v>
      </c>
      <c r="K18" s="114">
        <f>K10*Pieņēmumi!J38</f>
        <v>16979.66843479716</v>
      </c>
      <c r="L18" s="114">
        <f>L10*Pieņēmumi!K38</f>
        <v>17749.802113377085</v>
      </c>
      <c r="M18" s="114">
        <f>M10*Pieņēmumi!L38</f>
        <v>18554.86614911685</v>
      </c>
      <c r="N18" s="150"/>
      <c r="O18" s="114">
        <f t="shared" si="2"/>
        <v>136425.40240753678</v>
      </c>
    </row>
    <row r="19" spans="2:15" x14ac:dyDescent="0.25">
      <c r="D19" s="114"/>
      <c r="E19" s="114"/>
      <c r="F19" s="114"/>
      <c r="G19" s="114"/>
      <c r="H19" s="114"/>
      <c r="I19" s="114"/>
      <c r="J19" s="114"/>
      <c r="K19" s="114"/>
      <c r="L19" s="114"/>
      <c r="M19" s="114"/>
      <c r="N19" s="114"/>
      <c r="O19" s="114"/>
    </row>
    <row r="20" spans="2:15" x14ac:dyDescent="0.25">
      <c r="B20" s="133" t="s">
        <v>225</v>
      </c>
      <c r="C20" s="149"/>
      <c r="D20" s="134"/>
      <c r="E20" s="134"/>
      <c r="F20" s="134"/>
      <c r="G20" s="134"/>
      <c r="H20" s="134"/>
      <c r="I20" s="134"/>
      <c r="J20" s="134"/>
      <c r="K20" s="134"/>
      <c r="L20" s="134"/>
      <c r="M20" s="134"/>
      <c r="N20" s="134"/>
      <c r="O20" s="114"/>
    </row>
    <row r="21" spans="2:15" x14ac:dyDescent="0.25">
      <c r="B21" s="236" t="s">
        <v>150</v>
      </c>
      <c r="C21" s="148"/>
      <c r="D21" s="237">
        <f>D22+D26</f>
        <v>-751000</v>
      </c>
      <c r="E21" s="237">
        <f t="shared" ref="E21:M21" si="4">E22+E26</f>
        <v>-94000</v>
      </c>
      <c r="F21" s="237">
        <f t="shared" si="4"/>
        <v>0</v>
      </c>
      <c r="G21" s="237">
        <f t="shared" si="4"/>
        <v>0</v>
      </c>
      <c r="H21" s="237">
        <f t="shared" si="4"/>
        <v>0</v>
      </c>
      <c r="I21" s="237">
        <f t="shared" si="4"/>
        <v>-56250</v>
      </c>
      <c r="J21" s="237">
        <f t="shared" si="4"/>
        <v>0</v>
      </c>
      <c r="K21" s="237">
        <f t="shared" si="4"/>
        <v>0</v>
      </c>
      <c r="L21" s="237">
        <f t="shared" si="4"/>
        <v>0</v>
      </c>
      <c r="M21" s="237">
        <f t="shared" si="4"/>
        <v>0</v>
      </c>
      <c r="O21" s="114">
        <f t="shared" si="2"/>
        <v>-901250</v>
      </c>
    </row>
    <row r="22" spans="2:15" x14ac:dyDescent="0.25">
      <c r="B22" s="6" t="s">
        <v>295</v>
      </c>
      <c r="D22" s="235">
        <f>SUM(D23:D25)</f>
        <v>-591000</v>
      </c>
      <c r="E22" s="235">
        <f t="shared" ref="E22:M22" si="5">SUM(E23:E25)</f>
        <v>-54000</v>
      </c>
      <c r="F22" s="235">
        <f t="shared" si="5"/>
        <v>0</v>
      </c>
      <c r="G22" s="235">
        <f t="shared" si="5"/>
        <v>0</v>
      </c>
      <c r="H22" s="235">
        <f t="shared" si="5"/>
        <v>0</v>
      </c>
      <c r="I22" s="235">
        <f t="shared" si="5"/>
        <v>-56250</v>
      </c>
      <c r="J22" s="235">
        <f t="shared" si="5"/>
        <v>0</v>
      </c>
      <c r="K22" s="235">
        <f t="shared" si="5"/>
        <v>0</v>
      </c>
      <c r="L22" s="235">
        <f t="shared" si="5"/>
        <v>0</v>
      </c>
      <c r="M22" s="235">
        <f t="shared" si="5"/>
        <v>0</v>
      </c>
      <c r="N22" s="114"/>
      <c r="O22" s="114">
        <f t="shared" si="2"/>
        <v>-701250</v>
      </c>
    </row>
    <row r="23" spans="2:15" x14ac:dyDescent="0.25">
      <c r="B23" s="222" t="s">
        <v>296</v>
      </c>
      <c r="C23" s="41" t="s">
        <v>137</v>
      </c>
      <c r="D23" s="114">
        <f>Pieņēmumi!J50</f>
        <v>-375000</v>
      </c>
      <c r="E23" s="114"/>
      <c r="F23" s="114"/>
      <c r="G23" s="114"/>
      <c r="H23" s="114"/>
      <c r="I23" s="114">
        <f>Pieņēmumi!J53</f>
        <v>-56250</v>
      </c>
      <c r="J23" s="114"/>
      <c r="K23" s="114"/>
      <c r="L23" s="114"/>
      <c r="M23" s="114"/>
      <c r="N23" s="114"/>
      <c r="O23" s="114">
        <f t="shared" si="2"/>
        <v>-431250</v>
      </c>
    </row>
    <row r="24" spans="2:15" x14ac:dyDescent="0.25">
      <c r="B24" s="222" t="s">
        <v>297</v>
      </c>
      <c r="C24" s="41" t="s">
        <v>137</v>
      </c>
      <c r="D24" s="114">
        <f>Pieņēmumi!J56</f>
        <v>-192000</v>
      </c>
      <c r="E24" s="114">
        <f>Pieņēmumi!K56</f>
        <v>-48000</v>
      </c>
      <c r="F24" s="114"/>
      <c r="G24" s="114"/>
      <c r="H24" s="114"/>
      <c r="I24" s="114"/>
      <c r="J24" s="114"/>
      <c r="K24" s="114"/>
      <c r="L24" s="114"/>
      <c r="M24" s="114"/>
      <c r="N24" s="114"/>
      <c r="O24" s="114">
        <f t="shared" si="2"/>
        <v>-240000</v>
      </c>
    </row>
    <row r="25" spans="2:15" x14ac:dyDescent="0.25">
      <c r="B25" s="222" t="s">
        <v>298</v>
      </c>
      <c r="C25" s="41" t="s">
        <v>137</v>
      </c>
      <c r="D25" s="114">
        <f>Pieņēmumi!J59</f>
        <v>-24000</v>
      </c>
      <c r="E25" s="114">
        <f>Pieņēmumi!K59</f>
        <v>-6000</v>
      </c>
      <c r="F25" s="114"/>
      <c r="G25" s="114"/>
      <c r="H25" s="114"/>
      <c r="I25" s="114"/>
      <c r="J25" s="114"/>
      <c r="K25" s="114"/>
      <c r="L25" s="114"/>
      <c r="M25" s="114"/>
      <c r="N25" s="114"/>
      <c r="O25" s="114">
        <f t="shared" si="2"/>
        <v>-30000</v>
      </c>
    </row>
    <row r="26" spans="2:15" x14ac:dyDescent="0.25">
      <c r="B26" s="6" t="s">
        <v>299</v>
      </c>
      <c r="C26" s="41" t="s">
        <v>137</v>
      </c>
      <c r="D26" s="114">
        <f>Pieņēmumi!J62</f>
        <v>-160000</v>
      </c>
      <c r="E26" s="114">
        <f>Pieņēmumi!K62</f>
        <v>-40000</v>
      </c>
      <c r="F26" s="114"/>
      <c r="G26" s="114"/>
      <c r="H26" s="114"/>
      <c r="I26" s="114"/>
      <c r="J26" s="114"/>
      <c r="K26" s="114"/>
      <c r="L26" s="114"/>
      <c r="M26" s="114"/>
      <c r="N26" s="114"/>
      <c r="O26" s="114">
        <f t="shared" si="2"/>
        <v>-200000</v>
      </c>
    </row>
    <row r="27" spans="2:15" x14ac:dyDescent="0.25">
      <c r="B27" s="236" t="s">
        <v>151</v>
      </c>
      <c r="C27" s="148"/>
      <c r="D27" s="237">
        <f>D28+D31</f>
        <v>-171050</v>
      </c>
      <c r="E27" s="237">
        <f t="shared" ref="E27:M27" si="6">E28+E31</f>
        <v>-402775</v>
      </c>
      <c r="F27" s="237">
        <f t="shared" si="6"/>
        <v>-520372.9</v>
      </c>
      <c r="G27" s="237">
        <f t="shared" si="6"/>
        <v>-526556.45799999998</v>
      </c>
      <c r="H27" s="237">
        <f t="shared" si="6"/>
        <v>-533029.06215999997</v>
      </c>
      <c r="I27" s="237">
        <f t="shared" si="6"/>
        <v>-551054.76215319999</v>
      </c>
      <c r="J27" s="237">
        <f t="shared" si="6"/>
        <v>-558148.30208376399</v>
      </c>
      <c r="K27" s="237">
        <f t="shared" si="6"/>
        <v>-565575.15504731424</v>
      </c>
      <c r="L27" s="237">
        <f t="shared" si="6"/>
        <v>-573351.55941622937</v>
      </c>
      <c r="M27" s="237">
        <f t="shared" si="6"/>
        <v>-581494.55693592108</v>
      </c>
      <c r="O27" s="114">
        <f t="shared" si="2"/>
        <v>-4983407.7557964288</v>
      </c>
    </row>
    <row r="28" spans="2:15" x14ac:dyDescent="0.25">
      <c r="B28" s="135" t="s">
        <v>152</v>
      </c>
      <c r="D28" s="114">
        <f>SUM(D29:D30)</f>
        <v>-100000</v>
      </c>
      <c r="E28" s="114">
        <f t="shared" ref="E28:M28" si="7">SUM(E29:E30)</f>
        <v>-328380</v>
      </c>
      <c r="F28" s="114">
        <f t="shared" si="7"/>
        <v>-445320</v>
      </c>
      <c r="G28" s="114">
        <f t="shared" si="7"/>
        <v>-450832.5</v>
      </c>
      <c r="H28" s="114">
        <f t="shared" si="7"/>
        <v>-456620.625</v>
      </c>
      <c r="I28" s="114">
        <f t="shared" si="7"/>
        <v>-462698.15625</v>
      </c>
      <c r="J28" s="114">
        <f t="shared" si="7"/>
        <v>-469079.56406250002</v>
      </c>
      <c r="K28" s="114">
        <f t="shared" si="7"/>
        <v>-475780.04226562497</v>
      </c>
      <c r="L28" s="114">
        <f t="shared" si="7"/>
        <v>-482815.54437890626</v>
      </c>
      <c r="M28" s="114">
        <f t="shared" si="7"/>
        <v>-490202.82159785158</v>
      </c>
      <c r="O28" s="114">
        <f t="shared" si="2"/>
        <v>-4161729.2535548834</v>
      </c>
    </row>
    <row r="29" spans="2:15" x14ac:dyDescent="0.25">
      <c r="B29" s="6" t="s">
        <v>323</v>
      </c>
      <c r="C29" s="41" t="s">
        <v>137</v>
      </c>
      <c r="D29" s="114">
        <f>-Pieņēmumi!C77</f>
        <v>-100000</v>
      </c>
      <c r="E29" s="114">
        <f>D29*(1+Pieņēmumi!$C$76)</f>
        <v>-105000</v>
      </c>
      <c r="F29" s="114">
        <f>E29*(1+Pieņēmumi!$C$76)</f>
        <v>-110250</v>
      </c>
      <c r="G29" s="114">
        <f>F29*(1+Pieņēmumi!$C$76)</f>
        <v>-115762.5</v>
      </c>
      <c r="H29" s="114">
        <f>G29*(1+Pieņēmumi!$C$76)</f>
        <v>-121550.625</v>
      </c>
      <c r="I29" s="114">
        <f>H29*(1+Pieņēmumi!$C$76)</f>
        <v>-127628.15625</v>
      </c>
      <c r="J29" s="114">
        <f>I29*(1+Pieņēmumi!$C$76)</f>
        <v>-134009.56406249999</v>
      </c>
      <c r="K29" s="114">
        <f>J29*(1+Pieņēmumi!$C$76)</f>
        <v>-140710.042265625</v>
      </c>
      <c r="L29" s="114">
        <f>K29*(1+Pieņēmumi!$C$76)</f>
        <v>-147745.54437890626</v>
      </c>
      <c r="M29" s="114">
        <f>L29*(1+Pieņēmumi!$C$76)</f>
        <v>-155132.82159785158</v>
      </c>
      <c r="N29" s="150"/>
      <c r="O29" s="114">
        <f t="shared" si="2"/>
        <v>-1257789.2535548827</v>
      </c>
    </row>
    <row r="30" spans="2:15" x14ac:dyDescent="0.25">
      <c r="B30" s="6" t="s">
        <v>324</v>
      </c>
      <c r="C30" s="41" t="s">
        <v>137</v>
      </c>
      <c r="D30" s="114">
        <f>-Pieņēmumi!$C$80*Projekts!D10*(1+Projekts!D9)</f>
        <v>0</v>
      </c>
      <c r="E30" s="114">
        <f>-Pieņēmumi!$C$80*Projekts!E10*(1+Projekts!E9)</f>
        <v>-223380</v>
      </c>
      <c r="F30" s="114">
        <f>-Pieņēmumi!$C$80*Projekts!F10*(1+Projekts!F9)</f>
        <v>-335070</v>
      </c>
      <c r="G30" s="114">
        <f>-Pieņēmumi!$C$80*Projekts!G10*(1+Projekts!G9)</f>
        <v>-335070</v>
      </c>
      <c r="H30" s="114">
        <f>-Pieņēmumi!$C$80*Projekts!H10*(1+Projekts!H9)</f>
        <v>-335070</v>
      </c>
      <c r="I30" s="114">
        <f>-Pieņēmumi!$C$80*Projekts!I10*(1+Projekts!I9)</f>
        <v>-335070</v>
      </c>
      <c r="J30" s="114">
        <f>-Pieņēmumi!$C$80*Projekts!J10*(1+Projekts!J9)</f>
        <v>-335070</v>
      </c>
      <c r="K30" s="114">
        <f>-Pieņēmumi!$C$80*Projekts!K10*(1+Projekts!K9)</f>
        <v>-335070</v>
      </c>
      <c r="L30" s="114">
        <f>-Pieņēmumi!$C$80*Projekts!L10*(1+Projekts!L9)</f>
        <v>-335070</v>
      </c>
      <c r="M30" s="114">
        <f>-Pieņēmumi!$C$80*Projekts!M10*(1+Projekts!M9)</f>
        <v>-335070</v>
      </c>
      <c r="N30" s="150"/>
      <c r="O30" s="114">
        <f t="shared" si="2"/>
        <v>-2903940</v>
      </c>
    </row>
    <row r="31" spans="2:15" x14ac:dyDescent="0.25">
      <c r="B31" s="135" t="s">
        <v>153</v>
      </c>
      <c r="D31" s="114">
        <f>D32+D35</f>
        <v>-71050</v>
      </c>
      <c r="E31" s="114">
        <f t="shared" ref="E31:M31" si="8">E32+E35</f>
        <v>-74395</v>
      </c>
      <c r="F31" s="114">
        <f t="shared" si="8"/>
        <v>-75052.899999999994</v>
      </c>
      <c r="G31" s="114">
        <f t="shared" si="8"/>
        <v>-75723.957999999999</v>
      </c>
      <c r="H31" s="114">
        <f t="shared" si="8"/>
        <v>-76408.437160000001</v>
      </c>
      <c r="I31" s="114">
        <f t="shared" si="8"/>
        <v>-88356.605903200005</v>
      </c>
      <c r="J31" s="114">
        <f t="shared" si="8"/>
        <v>-89068.738021263998</v>
      </c>
      <c r="K31" s="114">
        <f t="shared" si="8"/>
        <v>-89795.112781689284</v>
      </c>
      <c r="L31" s="114">
        <f t="shared" si="8"/>
        <v>-90536.015037323072</v>
      </c>
      <c r="M31" s="114">
        <f t="shared" si="8"/>
        <v>-91291.735338069528</v>
      </c>
      <c r="O31" s="114">
        <f t="shared" si="2"/>
        <v>-821678.50224154582</v>
      </c>
    </row>
    <row r="32" spans="2:15" x14ac:dyDescent="0.25">
      <c r="B32" s="6" t="s">
        <v>306</v>
      </c>
      <c r="D32" s="114">
        <f>SUM(D33:D34)</f>
        <v>-41500</v>
      </c>
      <c r="E32" s="114">
        <f t="shared" ref="E32:M32" si="9">SUM(E33:E34)</f>
        <v>-41500</v>
      </c>
      <c r="F32" s="114">
        <f t="shared" si="9"/>
        <v>-41500</v>
      </c>
      <c r="G32" s="114">
        <f t="shared" si="9"/>
        <v>-41500</v>
      </c>
      <c r="H32" s="114">
        <f t="shared" si="9"/>
        <v>-41500</v>
      </c>
      <c r="I32" s="114">
        <f t="shared" si="9"/>
        <v>-52750</v>
      </c>
      <c r="J32" s="114">
        <f t="shared" si="9"/>
        <v>-52750</v>
      </c>
      <c r="K32" s="114">
        <f t="shared" si="9"/>
        <v>-52750</v>
      </c>
      <c r="L32" s="114">
        <f t="shared" si="9"/>
        <v>-52750</v>
      </c>
      <c r="M32" s="114">
        <f t="shared" si="9"/>
        <v>-52750</v>
      </c>
      <c r="N32" s="150"/>
      <c r="O32" s="114">
        <f t="shared" si="2"/>
        <v>-471250</v>
      </c>
    </row>
    <row r="33" spans="2:15" x14ac:dyDescent="0.25">
      <c r="B33" s="222" t="s">
        <v>307</v>
      </c>
      <c r="D33" s="114">
        <f>Pieņēmumi!$D$65+Pieņēmumi!$D$66</f>
        <v>-21500</v>
      </c>
      <c r="E33" s="114">
        <f>Pieņēmumi!$D$65+Pieņēmumi!$D$66</f>
        <v>-21500</v>
      </c>
      <c r="F33" s="114">
        <f>Pieņēmumi!$D$65+Pieņēmumi!$D$66</f>
        <v>-21500</v>
      </c>
      <c r="G33" s="114">
        <f>Pieņēmumi!$D$65+Pieņēmumi!$D$66</f>
        <v>-21500</v>
      </c>
      <c r="H33" s="114">
        <f>Pieņēmumi!$D$65+Pieņēmumi!$D$66</f>
        <v>-21500</v>
      </c>
      <c r="I33" s="114">
        <f>Pieņēmumi!$D$65+Pieņēmumi!$D$66+Pieņēmumi!$I$65</f>
        <v>-32750</v>
      </c>
      <c r="J33" s="114">
        <f>Pieņēmumi!$D$65+Pieņēmumi!$D$66+Pieņēmumi!$I$65</f>
        <v>-32750</v>
      </c>
      <c r="K33" s="114">
        <f>Pieņēmumi!$D$65+Pieņēmumi!$D$66+Pieņēmumi!$I$65</f>
        <v>-32750</v>
      </c>
      <c r="L33" s="114">
        <f>Pieņēmumi!$D$65+Pieņēmumi!$D$66+Pieņēmumi!$I$65</f>
        <v>-32750</v>
      </c>
      <c r="M33" s="114">
        <f>Pieņēmumi!$D$65+Pieņēmumi!$D$66+Pieņēmumi!$I$65</f>
        <v>-32750</v>
      </c>
      <c r="N33" s="114"/>
      <c r="O33" s="114">
        <f t="shared" si="2"/>
        <v>-271250</v>
      </c>
    </row>
    <row r="34" spans="2:15" x14ac:dyDescent="0.25">
      <c r="B34" s="222" t="s">
        <v>308</v>
      </c>
      <c r="D34" s="114">
        <f>Pieņēmumi!$D$67</f>
        <v>-20000</v>
      </c>
      <c r="E34" s="114">
        <f>Pieņēmumi!$D$67</f>
        <v>-20000</v>
      </c>
      <c r="F34" s="114">
        <f>Pieņēmumi!$D$67</f>
        <v>-20000</v>
      </c>
      <c r="G34" s="114">
        <f>Pieņēmumi!$D$67</f>
        <v>-20000</v>
      </c>
      <c r="H34" s="114">
        <f>Pieņēmumi!$D$67</f>
        <v>-20000</v>
      </c>
      <c r="I34" s="114">
        <f>Pieņēmumi!$D$67</f>
        <v>-20000</v>
      </c>
      <c r="J34" s="114">
        <f>Pieņēmumi!$D$67</f>
        <v>-20000</v>
      </c>
      <c r="K34" s="114">
        <f>Pieņēmumi!$D$67</f>
        <v>-20000</v>
      </c>
      <c r="L34" s="114">
        <f>Pieņēmumi!$D$67</f>
        <v>-20000</v>
      </c>
      <c r="M34" s="114">
        <f>Pieņēmumi!$D$67</f>
        <v>-20000</v>
      </c>
      <c r="N34" s="114"/>
      <c r="O34" s="114">
        <f t="shared" si="2"/>
        <v>-200000</v>
      </c>
    </row>
    <row r="35" spans="2:15" x14ac:dyDescent="0.25">
      <c r="B35" s="6" t="s">
        <v>322</v>
      </c>
      <c r="D35" s="114">
        <f>D22*0.05</f>
        <v>-29550</v>
      </c>
      <c r="E35" s="114">
        <f>($D$22+$E$22)*0.05*(1+E9)</f>
        <v>-32895</v>
      </c>
      <c r="F35" s="114">
        <f t="shared" ref="F35:M35" si="10">E35*(1+F9)</f>
        <v>-33552.9</v>
      </c>
      <c r="G35" s="114">
        <f t="shared" si="10"/>
        <v>-34223.957999999999</v>
      </c>
      <c r="H35" s="114">
        <f t="shared" si="10"/>
        <v>-34908.437160000001</v>
      </c>
      <c r="I35" s="114">
        <f t="shared" si="10"/>
        <v>-35606.605903200005</v>
      </c>
      <c r="J35" s="114">
        <f t="shared" si="10"/>
        <v>-36318.738021264006</v>
      </c>
      <c r="K35" s="114">
        <f t="shared" si="10"/>
        <v>-37045.112781689284</v>
      </c>
      <c r="L35" s="114">
        <f t="shared" si="10"/>
        <v>-37786.015037323072</v>
      </c>
      <c r="M35" s="114">
        <f t="shared" si="10"/>
        <v>-38541.735338069535</v>
      </c>
      <c r="N35" s="150"/>
      <c r="O35" s="114">
        <f t="shared" si="2"/>
        <v>-350428.50224154588</v>
      </c>
    </row>
    <row r="36" spans="2:15" x14ac:dyDescent="0.25">
      <c r="O36" s="114"/>
    </row>
    <row r="37" spans="2:15" x14ac:dyDescent="0.25">
      <c r="B37" s="1" t="s">
        <v>325</v>
      </c>
      <c r="D37" s="114">
        <f>D21+D27</f>
        <v>-922050</v>
      </c>
      <c r="E37" s="114">
        <f t="shared" ref="E37:M37" si="11">E21+E27</f>
        <v>-496775</v>
      </c>
      <c r="F37" s="114">
        <f t="shared" si="11"/>
        <v>-520372.9</v>
      </c>
      <c r="G37" s="114">
        <f t="shared" si="11"/>
        <v>-526556.45799999998</v>
      </c>
      <c r="H37" s="114">
        <f t="shared" si="11"/>
        <v>-533029.06215999997</v>
      </c>
      <c r="I37" s="114">
        <f t="shared" si="11"/>
        <v>-607304.76215319999</v>
      </c>
      <c r="J37" s="114">
        <f t="shared" si="11"/>
        <v>-558148.30208376399</v>
      </c>
      <c r="K37" s="114">
        <f t="shared" si="11"/>
        <v>-565575.15504731424</v>
      </c>
      <c r="L37" s="114">
        <f t="shared" si="11"/>
        <v>-573351.55941622937</v>
      </c>
      <c r="M37" s="114">
        <f t="shared" si="11"/>
        <v>-581494.55693592108</v>
      </c>
      <c r="O37" s="114">
        <f>SUM(D37:M37)</f>
        <v>-5884657.7557964288</v>
      </c>
    </row>
    <row r="38" spans="2:15" x14ac:dyDescent="0.25"/>
    <row r="39" spans="2:15" x14ac:dyDescent="0.25">
      <c r="B39" s="181" t="s">
        <v>340</v>
      </c>
      <c r="O39" s="200"/>
    </row>
    <row r="40" spans="2:15" x14ac:dyDescent="0.25">
      <c r="B40" s="6" t="s">
        <v>341</v>
      </c>
      <c r="M40" s="114">
        <f>Pieņēmumi!F100</f>
        <v>400000</v>
      </c>
    </row>
    <row r="41" spans="2:15" x14ac:dyDescent="0.25"/>
    <row r="42" spans="2:15" x14ac:dyDescent="0.25"/>
    <row r="43" spans="2:15" x14ac:dyDescent="0.25"/>
    <row r="44" spans="2:15" x14ac:dyDescent="0.25"/>
    <row r="45" spans="2:15" x14ac:dyDescent="0.25"/>
    <row r="46" spans="2:15" x14ac:dyDescent="0.25"/>
    <row r="47" spans="2:15" x14ac:dyDescent="0.25"/>
    <row r="48" spans="2:15"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Z62"/>
  <sheetViews>
    <sheetView zoomScale="90" zoomScaleNormal="90" workbookViewId="0">
      <pane xSplit="4" ySplit="9" topLeftCell="E10" activePane="bottomRight" state="frozen"/>
      <selection pane="topRight" activeCell="E1" sqref="E1"/>
      <selection pane="bottomLeft" activeCell="A10" sqref="A10"/>
      <selection pane="bottomRight" activeCell="Q60" sqref="Q60"/>
    </sheetView>
  </sheetViews>
  <sheetFormatPr defaultColWidth="0" defaultRowHeight="12" zeroHeight="1" outlineLevelCol="1" x14ac:dyDescent="0.25"/>
  <cols>
    <col min="1" max="1" width="8.88671875" style="1" customWidth="1"/>
    <col min="2" max="2" width="38.77734375" style="1" bestFit="1" customWidth="1"/>
    <col min="3" max="3" width="3.33203125" style="1" customWidth="1"/>
    <col min="4" max="4" width="12.6640625" style="1" hidden="1" customWidth="1" outlineLevel="1"/>
    <col min="5" max="5" width="11.33203125" style="1" bestFit="1" customWidth="1" collapsed="1"/>
    <col min="6" max="14" width="8.88671875" style="1" customWidth="1"/>
    <col min="15" max="15" width="8.88671875" style="1" hidden="1" customWidth="1"/>
    <col min="16" max="16" width="3.44140625" style="1" customWidth="1"/>
    <col min="17" max="18" width="8.88671875" style="1" customWidth="1"/>
    <col min="19" max="16384" width="8.88671875" style="1" hidden="1"/>
  </cols>
  <sheetData>
    <row r="1" spans="2:26" x14ac:dyDescent="0.25"/>
    <row r="2" spans="2:26" ht="14.4" x14ac:dyDescent="0.3">
      <c r="B2" s="51" t="s">
        <v>234</v>
      </c>
      <c r="C2" s="51"/>
      <c r="D2" s="51"/>
      <c r="E2" s="263" t="str">
        <f>IF(Titullapa!$D$19="Jā","AIZPILDĪT","NEAIZPILDĪT")</f>
        <v>AIZPILDĪT</v>
      </c>
      <c r="F2" s="263"/>
      <c r="G2" s="263"/>
      <c r="H2" s="51"/>
      <c r="I2" s="51"/>
      <c r="J2" s="51"/>
      <c r="K2" s="51"/>
      <c r="L2" s="51"/>
      <c r="M2" s="51"/>
      <c r="N2" s="51"/>
      <c r="O2" s="51"/>
    </row>
    <row r="3" spans="2:26" x14ac:dyDescent="0.25"/>
    <row r="4" spans="2:26" x14ac:dyDescent="0.25"/>
    <row r="5" spans="2:26" x14ac:dyDescent="0.25">
      <c r="B5" s="54" t="s">
        <v>147</v>
      </c>
      <c r="E5" s="63" t="s">
        <v>137</v>
      </c>
    </row>
    <row r="6" spans="2:26" x14ac:dyDescent="0.25">
      <c r="B6" s="54" t="s">
        <v>194</v>
      </c>
      <c r="C6" s="45"/>
      <c r="D6" s="45"/>
      <c r="E6" s="65">
        <f>Pieņēmumi!C8</f>
        <v>0.04</v>
      </c>
      <c r="F6" s="45"/>
      <c r="G6" s="45"/>
      <c r="H6" s="45"/>
      <c r="I6" s="45"/>
      <c r="J6" s="45"/>
      <c r="K6" s="45"/>
      <c r="L6" s="45"/>
      <c r="M6" s="45"/>
      <c r="N6" s="45"/>
      <c r="O6" s="45"/>
      <c r="P6" s="45"/>
      <c r="Q6" s="45"/>
      <c r="R6" s="45"/>
      <c r="S6" s="45"/>
      <c r="T6" s="45"/>
      <c r="U6" s="45"/>
      <c r="V6" s="45"/>
      <c r="W6" s="45"/>
      <c r="X6" s="45"/>
      <c r="Y6" s="45"/>
      <c r="Z6" s="45"/>
    </row>
    <row r="7" spans="2:26" x14ac:dyDescent="0.25">
      <c r="B7" s="46"/>
      <c r="C7" s="45"/>
      <c r="D7" s="45"/>
      <c r="E7" s="45"/>
      <c r="F7" s="45"/>
      <c r="G7" s="45"/>
      <c r="H7" s="45"/>
      <c r="I7" s="45"/>
      <c r="J7" s="45"/>
      <c r="K7" s="45"/>
      <c r="L7" s="45"/>
      <c r="M7" s="45"/>
      <c r="N7" s="45"/>
      <c r="O7" s="45"/>
      <c r="P7" s="45"/>
      <c r="Q7" s="45"/>
      <c r="R7" s="45"/>
      <c r="S7" s="45"/>
      <c r="T7" s="45"/>
      <c r="U7" s="45"/>
      <c r="V7" s="45"/>
      <c r="W7" s="45"/>
      <c r="X7" s="45"/>
      <c r="Y7" s="45"/>
      <c r="Z7" s="45"/>
    </row>
    <row r="8" spans="2:26" x14ac:dyDescent="0.25">
      <c r="B8" s="54" t="s">
        <v>170</v>
      </c>
      <c r="C8" s="45"/>
      <c r="D8" s="45"/>
      <c r="E8" s="174">
        <f>Projekts!D4</f>
        <v>2022</v>
      </c>
      <c r="F8" s="174">
        <f>Projekts!E4</f>
        <v>2023</v>
      </c>
      <c r="G8" s="174">
        <f>Projekts!F4</f>
        <v>2024</v>
      </c>
      <c r="H8" s="174">
        <f>Projekts!G4</f>
        <v>2025</v>
      </c>
      <c r="I8" s="174">
        <f>Projekts!H4</f>
        <v>2026</v>
      </c>
      <c r="J8" s="174">
        <f>Projekts!I4</f>
        <v>2027</v>
      </c>
      <c r="K8" s="174">
        <f>Projekts!J4</f>
        <v>2028</v>
      </c>
      <c r="L8" s="174">
        <f>Projekts!K4</f>
        <v>2029</v>
      </c>
      <c r="M8" s="174">
        <f>Projekts!L4</f>
        <v>2030</v>
      </c>
      <c r="N8" s="174">
        <f>Projekts!M4</f>
        <v>2031</v>
      </c>
      <c r="O8" s="67"/>
      <c r="P8" s="45"/>
      <c r="Q8" s="45" t="s">
        <v>192</v>
      </c>
      <c r="R8" s="45"/>
      <c r="S8" s="45"/>
      <c r="T8" s="45"/>
      <c r="U8" s="45"/>
      <c r="V8" s="45"/>
      <c r="W8" s="45"/>
      <c r="X8" s="45"/>
      <c r="Y8" s="45"/>
      <c r="Z8" s="45"/>
    </row>
    <row r="9" spans="2:26" x14ac:dyDescent="0.25">
      <c r="B9" s="54" t="s">
        <v>169</v>
      </c>
      <c r="C9" s="45"/>
      <c r="D9" s="45"/>
      <c r="E9" s="175">
        <f>Projekts!D5</f>
        <v>1</v>
      </c>
      <c r="F9" s="175">
        <f>Projekts!E5</f>
        <v>2</v>
      </c>
      <c r="G9" s="175">
        <f>Projekts!F5</f>
        <v>3</v>
      </c>
      <c r="H9" s="175">
        <f>Projekts!G5</f>
        <v>4</v>
      </c>
      <c r="I9" s="175">
        <f>Projekts!H5</f>
        <v>5</v>
      </c>
      <c r="J9" s="175">
        <f>Projekts!I5</f>
        <v>6</v>
      </c>
      <c r="K9" s="175">
        <f>Projekts!J5</f>
        <v>7</v>
      </c>
      <c r="L9" s="175">
        <f>Projekts!K5</f>
        <v>8</v>
      </c>
      <c r="M9" s="175">
        <f>Projekts!L5</f>
        <v>9</v>
      </c>
      <c r="N9" s="175">
        <f>Projekts!M5</f>
        <v>10</v>
      </c>
      <c r="O9" s="61" t="s">
        <v>111</v>
      </c>
      <c r="P9" s="45"/>
      <c r="Q9" s="45">
        <f>COUNTA(E9:O9)</f>
        <v>11</v>
      </c>
      <c r="R9" s="45"/>
      <c r="S9" s="45"/>
      <c r="T9" s="45"/>
      <c r="U9" s="45"/>
      <c r="V9" s="45"/>
      <c r="W9" s="45"/>
      <c r="X9" s="45"/>
      <c r="Y9" s="45"/>
      <c r="Z9" s="45"/>
    </row>
    <row r="10" spans="2:26" x14ac:dyDescent="0.25">
      <c r="B10" s="54" t="s">
        <v>148</v>
      </c>
      <c r="C10" s="45"/>
      <c r="D10" s="45"/>
      <c r="E10" s="176">
        <f>Projekts!D9</f>
        <v>0.02</v>
      </c>
      <c r="F10" s="176">
        <f>Projekts!E9</f>
        <v>0.02</v>
      </c>
      <c r="G10" s="176">
        <f>Projekts!F9</f>
        <v>0.02</v>
      </c>
      <c r="H10" s="176">
        <f>Projekts!G9</f>
        <v>0.02</v>
      </c>
      <c r="I10" s="176">
        <f>Projekts!H9</f>
        <v>0.02</v>
      </c>
      <c r="J10" s="176">
        <f>Projekts!I9</f>
        <v>0.02</v>
      </c>
      <c r="K10" s="176">
        <f>Projekts!J9</f>
        <v>0.02</v>
      </c>
      <c r="L10" s="176">
        <f>Projekts!K9</f>
        <v>0.02</v>
      </c>
      <c r="M10" s="176">
        <f>Projekts!L9</f>
        <v>0.02</v>
      </c>
      <c r="N10" s="176">
        <f>Projekts!M9</f>
        <v>0.02</v>
      </c>
      <c r="O10" s="68"/>
      <c r="P10" s="45"/>
      <c r="Q10" s="45"/>
      <c r="R10" s="45"/>
      <c r="S10" s="45"/>
      <c r="T10" s="45"/>
      <c r="U10" s="45"/>
      <c r="V10" s="45"/>
      <c r="W10" s="45"/>
      <c r="X10" s="45"/>
      <c r="Y10" s="45"/>
      <c r="Z10" s="45"/>
    </row>
    <row r="11" spans="2:26" x14ac:dyDescent="0.25">
      <c r="B11" s="40"/>
      <c r="C11" s="45"/>
      <c r="D11" s="45"/>
      <c r="E11" s="45"/>
      <c r="F11" s="45"/>
      <c r="G11" s="45"/>
      <c r="H11" s="45"/>
      <c r="I11" s="45"/>
      <c r="J11" s="45"/>
      <c r="K11" s="45"/>
      <c r="L11" s="45"/>
      <c r="M11" s="45"/>
      <c r="N11" s="45"/>
      <c r="O11" s="45"/>
      <c r="P11" s="45"/>
      <c r="Q11" s="45"/>
      <c r="R11" s="45"/>
      <c r="S11" s="45"/>
      <c r="T11" s="45"/>
      <c r="U11" s="45"/>
      <c r="V11" s="45"/>
      <c r="W11" s="45"/>
      <c r="X11" s="45"/>
      <c r="Y11" s="45"/>
      <c r="Z11" s="45"/>
    </row>
    <row r="12" spans="2:26" x14ac:dyDescent="0.25">
      <c r="B12" s="47" t="s">
        <v>149</v>
      </c>
      <c r="C12" s="45"/>
      <c r="D12" s="49" t="s">
        <v>161</v>
      </c>
      <c r="E12" s="45"/>
      <c r="F12" s="45"/>
      <c r="G12" s="45"/>
      <c r="H12" s="45"/>
      <c r="I12" s="45"/>
      <c r="J12" s="45"/>
      <c r="K12" s="45"/>
      <c r="L12" s="45"/>
      <c r="M12" s="45"/>
      <c r="N12" s="45"/>
      <c r="O12" s="45"/>
      <c r="P12" s="45"/>
      <c r="Q12" s="45"/>
      <c r="R12" s="45"/>
      <c r="S12" s="45"/>
      <c r="T12" s="45"/>
      <c r="U12" s="45"/>
      <c r="V12" s="45"/>
      <c r="W12" s="45"/>
      <c r="X12" s="45"/>
      <c r="Y12" s="45"/>
      <c r="Z12" s="45"/>
    </row>
    <row r="13" spans="2:26" x14ac:dyDescent="0.25">
      <c r="B13" s="62" t="s">
        <v>150</v>
      </c>
      <c r="C13" s="45"/>
      <c r="D13" s="49"/>
      <c r="E13" s="55">
        <f>SUM(E14:E17)</f>
        <v>-751000</v>
      </c>
      <c r="F13" s="55">
        <f t="shared" ref="F13:O13" si="0">SUM(F14:F17)</f>
        <v>-94000</v>
      </c>
      <c r="G13" s="55">
        <f t="shared" si="0"/>
        <v>0</v>
      </c>
      <c r="H13" s="55">
        <f t="shared" si="0"/>
        <v>0</v>
      </c>
      <c r="I13" s="55">
        <f t="shared" si="0"/>
        <v>0</v>
      </c>
      <c r="J13" s="55">
        <f t="shared" si="0"/>
        <v>-56250</v>
      </c>
      <c r="K13" s="55">
        <f t="shared" si="0"/>
        <v>0</v>
      </c>
      <c r="L13" s="55">
        <f t="shared" si="0"/>
        <v>0</v>
      </c>
      <c r="M13" s="55">
        <f t="shared" si="0"/>
        <v>0</v>
      </c>
      <c r="N13" s="55">
        <f t="shared" si="0"/>
        <v>0</v>
      </c>
      <c r="O13" s="55">
        <f t="shared" si="0"/>
        <v>0</v>
      </c>
      <c r="P13" s="50"/>
      <c r="Q13" s="55">
        <f>SUM(E13:O13)</f>
        <v>-901250</v>
      </c>
      <c r="R13" s="45"/>
      <c r="S13" s="45"/>
      <c r="T13" s="45"/>
      <c r="U13" s="45"/>
      <c r="V13" s="45"/>
      <c r="W13" s="45"/>
      <c r="X13" s="45"/>
      <c r="Y13" s="45"/>
      <c r="Z13" s="45"/>
    </row>
    <row r="14" spans="2:26" x14ac:dyDescent="0.25">
      <c r="B14" s="83" t="str">
        <f>Projekts!B22</f>
        <v>1. Būvniecības izmaksas:</v>
      </c>
      <c r="C14" s="45"/>
      <c r="D14" s="49" t="s">
        <v>162</v>
      </c>
      <c r="E14" s="72">
        <f>Projekts!D22</f>
        <v>-591000</v>
      </c>
      <c r="F14" s="72">
        <f>Projekts!E22</f>
        <v>-54000</v>
      </c>
      <c r="G14" s="72">
        <f>Projekts!F22</f>
        <v>0</v>
      </c>
      <c r="H14" s="72">
        <f>Projekts!G22</f>
        <v>0</v>
      </c>
      <c r="I14" s="72">
        <f>Projekts!H22</f>
        <v>0</v>
      </c>
      <c r="J14" s="72">
        <f>Projekts!I22</f>
        <v>-56250</v>
      </c>
      <c r="K14" s="72">
        <f>Projekts!J22</f>
        <v>0</v>
      </c>
      <c r="L14" s="72">
        <f>Projekts!K22</f>
        <v>0</v>
      </c>
      <c r="M14" s="72">
        <f>Projekts!L22</f>
        <v>0</v>
      </c>
      <c r="N14" s="72">
        <f>Projekts!M22</f>
        <v>0</v>
      </c>
      <c r="O14" s="72"/>
      <c r="P14" s="50"/>
      <c r="Q14" s="55">
        <f t="shared" ref="Q14:Q56" si="1">SUM(E14:O14)</f>
        <v>-701250</v>
      </c>
      <c r="R14" s="45"/>
      <c r="S14" s="45"/>
      <c r="T14" s="45"/>
      <c r="U14" s="45"/>
      <c r="V14" s="45"/>
      <c r="W14" s="45"/>
      <c r="X14" s="45"/>
      <c r="Y14" s="45"/>
      <c r="Z14" s="45"/>
    </row>
    <row r="15" spans="2:26" x14ac:dyDescent="0.25">
      <c r="B15" s="83" t="str">
        <f>Projekts!B26</f>
        <v>2. Pamatlīdzekļu iegāde</v>
      </c>
      <c r="C15" s="45"/>
      <c r="D15" s="49" t="s">
        <v>162</v>
      </c>
      <c r="E15" s="72">
        <f>Projekts!D26</f>
        <v>-160000</v>
      </c>
      <c r="F15" s="72">
        <f>Projekts!E26</f>
        <v>-40000</v>
      </c>
      <c r="G15" s="72">
        <f>Projekts!F26</f>
        <v>0</v>
      </c>
      <c r="H15" s="72">
        <f>Projekts!G26</f>
        <v>0</v>
      </c>
      <c r="I15" s="72">
        <f>Projekts!H26</f>
        <v>0</v>
      </c>
      <c r="J15" s="72">
        <f>Projekts!I26</f>
        <v>0</v>
      </c>
      <c r="K15" s="72">
        <f>Projekts!J26</f>
        <v>0</v>
      </c>
      <c r="L15" s="72">
        <f>Projekts!K26</f>
        <v>0</v>
      </c>
      <c r="M15" s="72">
        <f>Projekts!L26</f>
        <v>0</v>
      </c>
      <c r="N15" s="72">
        <f>Projekts!M26</f>
        <v>0</v>
      </c>
      <c r="O15" s="72"/>
      <c r="P15" s="50"/>
      <c r="Q15" s="55">
        <f t="shared" si="1"/>
        <v>-200000</v>
      </c>
      <c r="R15" s="45"/>
      <c r="S15" s="45"/>
      <c r="T15" s="45"/>
      <c r="U15" s="45"/>
      <c r="V15" s="45"/>
      <c r="W15" s="45"/>
      <c r="X15" s="45"/>
      <c r="Y15" s="45"/>
      <c r="Z15" s="45"/>
    </row>
    <row r="16" spans="2:26" hidden="1" x14ac:dyDescent="0.25">
      <c r="B16" s="83" t="s">
        <v>246</v>
      </c>
      <c r="C16" s="45"/>
      <c r="D16" s="49" t="s">
        <v>162</v>
      </c>
      <c r="E16" s="72"/>
      <c r="F16" s="72"/>
      <c r="G16" s="72"/>
      <c r="H16" s="72"/>
      <c r="I16" s="72"/>
      <c r="J16" s="72"/>
      <c r="K16" s="72"/>
      <c r="L16" s="72"/>
      <c r="M16" s="72"/>
      <c r="N16" s="72"/>
      <c r="O16" s="72"/>
      <c r="P16" s="50"/>
      <c r="Q16" s="55">
        <f t="shared" si="1"/>
        <v>0</v>
      </c>
      <c r="R16" s="45"/>
      <c r="S16" s="45"/>
      <c r="T16" s="45"/>
      <c r="U16" s="45"/>
      <c r="V16" s="45"/>
      <c r="W16" s="45"/>
      <c r="X16" s="45"/>
      <c r="Y16" s="45"/>
      <c r="Z16" s="45"/>
    </row>
    <row r="17" spans="2:26" hidden="1" x14ac:dyDescent="0.25">
      <c r="B17" s="83"/>
      <c r="C17" s="45"/>
      <c r="D17" s="49" t="s">
        <v>162</v>
      </c>
      <c r="E17" s="72"/>
      <c r="F17" s="72"/>
      <c r="G17" s="72"/>
      <c r="H17" s="72"/>
      <c r="I17" s="72"/>
      <c r="J17" s="72"/>
      <c r="K17" s="72"/>
      <c r="L17" s="72"/>
      <c r="M17" s="72"/>
      <c r="N17" s="72"/>
      <c r="O17" s="72"/>
      <c r="P17" s="50"/>
      <c r="Q17" s="55">
        <f t="shared" si="1"/>
        <v>0</v>
      </c>
      <c r="R17" s="45"/>
      <c r="S17" s="45"/>
      <c r="T17" s="45"/>
      <c r="U17" s="45"/>
      <c r="V17" s="45"/>
      <c r="W17" s="45"/>
      <c r="X17" s="45"/>
      <c r="Y17" s="45"/>
      <c r="Z17" s="45"/>
    </row>
    <row r="18" spans="2:26" x14ac:dyDescent="0.25">
      <c r="B18" s="40"/>
      <c r="C18" s="45"/>
      <c r="D18" s="49"/>
      <c r="E18" s="50"/>
      <c r="F18" s="50"/>
      <c r="G18" s="50"/>
      <c r="H18" s="50"/>
      <c r="I18" s="50"/>
      <c r="J18" s="50"/>
      <c r="K18" s="50"/>
      <c r="L18" s="50"/>
      <c r="M18" s="50"/>
      <c r="N18" s="50"/>
      <c r="O18" s="50"/>
      <c r="P18" s="50"/>
      <c r="Q18" s="50"/>
      <c r="R18" s="45"/>
      <c r="S18" s="45"/>
      <c r="T18" s="45"/>
      <c r="U18" s="45"/>
      <c r="V18" s="45"/>
      <c r="W18" s="45"/>
      <c r="X18" s="45"/>
      <c r="Y18" s="45"/>
      <c r="Z18" s="45"/>
    </row>
    <row r="19" spans="2:26" x14ac:dyDescent="0.25">
      <c r="B19" s="62" t="s">
        <v>151</v>
      </c>
      <c r="C19" s="45"/>
      <c r="D19" s="49"/>
      <c r="E19" s="55">
        <f>E20+E25</f>
        <v>-171050</v>
      </c>
      <c r="F19" s="55">
        <f t="shared" ref="F19:O19" si="2">F20+F25</f>
        <v>-402775</v>
      </c>
      <c r="G19" s="55">
        <f t="shared" si="2"/>
        <v>-520372.9</v>
      </c>
      <c r="H19" s="55">
        <f t="shared" si="2"/>
        <v>-526556.45799999998</v>
      </c>
      <c r="I19" s="55">
        <f t="shared" si="2"/>
        <v>-533029.06215999997</v>
      </c>
      <c r="J19" s="55">
        <f t="shared" si="2"/>
        <v>-551054.76215319999</v>
      </c>
      <c r="K19" s="55">
        <f t="shared" si="2"/>
        <v>-558148.30208376399</v>
      </c>
      <c r="L19" s="55">
        <f t="shared" si="2"/>
        <v>-565575.15504731424</v>
      </c>
      <c r="M19" s="55">
        <f t="shared" si="2"/>
        <v>-573351.55941622937</v>
      </c>
      <c r="N19" s="55">
        <f t="shared" si="2"/>
        <v>-581494.55693592108</v>
      </c>
      <c r="O19" s="55">
        <f t="shared" si="2"/>
        <v>0</v>
      </c>
      <c r="P19" s="50"/>
      <c r="Q19" s="55">
        <f t="shared" si="1"/>
        <v>-4983407.7557964288</v>
      </c>
      <c r="R19" s="45"/>
      <c r="S19" s="45"/>
      <c r="T19" s="45"/>
      <c r="U19" s="45"/>
      <c r="V19" s="45"/>
      <c r="W19" s="45"/>
      <c r="X19" s="45"/>
      <c r="Y19" s="45"/>
      <c r="Z19" s="45"/>
    </row>
    <row r="20" spans="2:26" x14ac:dyDescent="0.25">
      <c r="B20" s="84" t="s">
        <v>152</v>
      </c>
      <c r="C20" s="45"/>
      <c r="D20" s="49"/>
      <c r="E20" s="55">
        <f>SUM(E21:E24)</f>
        <v>-100000</v>
      </c>
      <c r="F20" s="55">
        <f t="shared" ref="F20:O20" si="3">SUM(F21:F24)</f>
        <v>-328380</v>
      </c>
      <c r="G20" s="55">
        <f t="shared" si="3"/>
        <v>-445320</v>
      </c>
      <c r="H20" s="55">
        <f t="shared" si="3"/>
        <v>-450832.5</v>
      </c>
      <c r="I20" s="55">
        <f t="shared" si="3"/>
        <v>-456620.625</v>
      </c>
      <c r="J20" s="55">
        <f t="shared" si="3"/>
        <v>-462698.15625</v>
      </c>
      <c r="K20" s="55">
        <f t="shared" si="3"/>
        <v>-469079.56406250002</v>
      </c>
      <c r="L20" s="55">
        <f t="shared" si="3"/>
        <v>-475780.04226562497</v>
      </c>
      <c r="M20" s="55">
        <f t="shared" si="3"/>
        <v>-482815.54437890626</v>
      </c>
      <c r="N20" s="55">
        <f t="shared" si="3"/>
        <v>-490202.82159785158</v>
      </c>
      <c r="O20" s="55">
        <f t="shared" si="3"/>
        <v>0</v>
      </c>
      <c r="P20" s="50"/>
      <c r="Q20" s="55">
        <f t="shared" si="1"/>
        <v>-4161729.2535548834</v>
      </c>
      <c r="R20" s="45"/>
      <c r="S20" s="45"/>
      <c r="T20" s="45"/>
      <c r="U20" s="45"/>
      <c r="V20" s="45"/>
      <c r="W20" s="45"/>
      <c r="X20" s="45"/>
      <c r="Y20" s="45"/>
      <c r="Z20" s="45"/>
    </row>
    <row r="21" spans="2:26" x14ac:dyDescent="0.25">
      <c r="B21" s="83" t="str">
        <f>Projekts!B29</f>
        <v>1. Personāla izmaksas</v>
      </c>
      <c r="C21" s="45"/>
      <c r="D21" s="49" t="s">
        <v>162</v>
      </c>
      <c r="E21" s="72">
        <f>Projekts!D29</f>
        <v>-100000</v>
      </c>
      <c r="F21" s="72">
        <f>Projekts!E29</f>
        <v>-105000</v>
      </c>
      <c r="G21" s="72">
        <f>Projekts!F29</f>
        <v>-110250</v>
      </c>
      <c r="H21" s="72">
        <f>Projekts!G29</f>
        <v>-115762.5</v>
      </c>
      <c r="I21" s="72">
        <f>Projekts!H29</f>
        <v>-121550.625</v>
      </c>
      <c r="J21" s="72">
        <f>Projekts!I29</f>
        <v>-127628.15625</v>
      </c>
      <c r="K21" s="72">
        <f>Projekts!J29</f>
        <v>-134009.56406249999</v>
      </c>
      <c r="L21" s="72">
        <f>Projekts!K29</f>
        <v>-140710.042265625</v>
      </c>
      <c r="M21" s="72">
        <f>Projekts!L29</f>
        <v>-147745.54437890626</v>
      </c>
      <c r="N21" s="72">
        <f>Projekts!M29</f>
        <v>-155132.82159785158</v>
      </c>
      <c r="O21" s="72"/>
      <c r="P21" s="50"/>
      <c r="Q21" s="55">
        <f t="shared" si="1"/>
        <v>-1257789.2535548827</v>
      </c>
      <c r="R21" s="45"/>
      <c r="S21" s="45"/>
      <c r="T21" s="45"/>
      <c r="U21" s="45"/>
      <c r="V21" s="45"/>
      <c r="W21" s="45"/>
      <c r="X21" s="45"/>
      <c r="Y21" s="45"/>
      <c r="Z21" s="45"/>
    </row>
    <row r="22" spans="2:26" x14ac:dyDescent="0.25">
      <c r="B22" s="83" t="str">
        <f>Projekts!B30</f>
        <v>2. Ēdināšana</v>
      </c>
      <c r="C22" s="45"/>
      <c r="D22" s="49" t="s">
        <v>162</v>
      </c>
      <c r="E22" s="72">
        <f>Projekts!D30</f>
        <v>0</v>
      </c>
      <c r="F22" s="72">
        <f>Projekts!E30</f>
        <v>-223380</v>
      </c>
      <c r="G22" s="72">
        <f>Projekts!F30</f>
        <v>-335070</v>
      </c>
      <c r="H22" s="72">
        <f>Projekts!G30</f>
        <v>-335070</v>
      </c>
      <c r="I22" s="72">
        <f>Projekts!H30</f>
        <v>-335070</v>
      </c>
      <c r="J22" s="72">
        <f>Projekts!I30</f>
        <v>-335070</v>
      </c>
      <c r="K22" s="72">
        <f>Projekts!J30</f>
        <v>-335070</v>
      </c>
      <c r="L22" s="72">
        <f>Projekts!K30</f>
        <v>-335070</v>
      </c>
      <c r="M22" s="72">
        <f>Projekts!L30</f>
        <v>-335070</v>
      </c>
      <c r="N22" s="72">
        <f>Projekts!M30</f>
        <v>-335070</v>
      </c>
      <c r="O22" s="72"/>
      <c r="P22" s="50"/>
      <c r="Q22" s="55">
        <f t="shared" si="1"/>
        <v>-2903940</v>
      </c>
      <c r="R22" s="45"/>
      <c r="S22" s="45"/>
      <c r="T22" s="45"/>
      <c r="U22" s="45"/>
      <c r="V22" s="45"/>
      <c r="W22" s="45"/>
      <c r="X22" s="45"/>
      <c r="Y22" s="45"/>
      <c r="Z22" s="45"/>
    </row>
    <row r="23" spans="2:26" hidden="1" x14ac:dyDescent="0.25">
      <c r="B23" s="83"/>
      <c r="C23" s="45"/>
      <c r="D23" s="49" t="s">
        <v>162</v>
      </c>
      <c r="E23" s="72"/>
      <c r="F23" s="72"/>
      <c r="G23" s="72"/>
      <c r="H23" s="72"/>
      <c r="I23" s="72"/>
      <c r="J23" s="72"/>
      <c r="K23" s="72"/>
      <c r="L23" s="72"/>
      <c r="M23" s="72"/>
      <c r="N23" s="72"/>
      <c r="O23" s="72"/>
      <c r="P23" s="50"/>
      <c r="Q23" s="55">
        <f t="shared" si="1"/>
        <v>0</v>
      </c>
      <c r="R23" s="45"/>
      <c r="S23" s="45"/>
      <c r="T23" s="45"/>
      <c r="U23" s="45"/>
      <c r="V23" s="45"/>
      <c r="W23" s="45"/>
      <c r="X23" s="45"/>
      <c r="Y23" s="45"/>
      <c r="Z23" s="45"/>
    </row>
    <row r="24" spans="2:26" hidden="1" x14ac:dyDescent="0.25">
      <c r="B24" s="83"/>
      <c r="C24" s="45"/>
      <c r="D24" s="49" t="s">
        <v>162</v>
      </c>
      <c r="E24" s="72"/>
      <c r="F24" s="72"/>
      <c r="G24" s="72"/>
      <c r="H24" s="72"/>
      <c r="I24" s="72"/>
      <c r="J24" s="72"/>
      <c r="K24" s="72"/>
      <c r="L24" s="72"/>
      <c r="M24" s="72"/>
      <c r="N24" s="72"/>
      <c r="O24" s="72"/>
      <c r="P24" s="50"/>
      <c r="Q24" s="55">
        <f t="shared" si="1"/>
        <v>0</v>
      </c>
      <c r="R24" s="45"/>
      <c r="S24" s="45"/>
      <c r="T24" s="45"/>
      <c r="U24" s="45"/>
      <c r="V24" s="45"/>
      <c r="W24" s="45"/>
      <c r="X24" s="45"/>
      <c r="Y24" s="45"/>
      <c r="Z24" s="45"/>
    </row>
    <row r="25" spans="2:26" x14ac:dyDescent="0.25">
      <c r="B25" s="84" t="s">
        <v>153</v>
      </c>
      <c r="C25" s="45"/>
      <c r="D25" s="49"/>
      <c r="E25" s="55">
        <f>SUM(E26:E29)</f>
        <v>-71050</v>
      </c>
      <c r="F25" s="55">
        <f t="shared" ref="F25:O25" si="4">SUM(F26:F29)</f>
        <v>-74395</v>
      </c>
      <c r="G25" s="55">
        <f t="shared" si="4"/>
        <v>-75052.899999999994</v>
      </c>
      <c r="H25" s="55">
        <f t="shared" si="4"/>
        <v>-75723.957999999999</v>
      </c>
      <c r="I25" s="55">
        <f t="shared" si="4"/>
        <v>-76408.437160000001</v>
      </c>
      <c r="J25" s="55">
        <f t="shared" si="4"/>
        <v>-88356.605903200005</v>
      </c>
      <c r="K25" s="55">
        <f t="shared" si="4"/>
        <v>-89068.738021263998</v>
      </c>
      <c r="L25" s="55">
        <f t="shared" si="4"/>
        <v>-89795.112781689284</v>
      </c>
      <c r="M25" s="55">
        <f t="shared" si="4"/>
        <v>-90536.015037323072</v>
      </c>
      <c r="N25" s="55">
        <f t="shared" si="4"/>
        <v>-91291.735338069528</v>
      </c>
      <c r="O25" s="55">
        <f t="shared" si="4"/>
        <v>0</v>
      </c>
      <c r="P25" s="50"/>
      <c r="Q25" s="55">
        <f t="shared" si="1"/>
        <v>-821678.50224154582</v>
      </c>
      <c r="R25" s="45"/>
      <c r="S25" s="45"/>
      <c r="T25" s="45"/>
      <c r="U25" s="45"/>
      <c r="V25" s="45"/>
      <c r="W25" s="45"/>
      <c r="X25" s="45"/>
      <c r="Y25" s="45"/>
      <c r="Z25" s="45"/>
    </row>
    <row r="26" spans="2:26" x14ac:dyDescent="0.25">
      <c r="B26" s="83" t="str">
        <f>Projekts!B32</f>
        <v>1. Aktīvu nolietojums</v>
      </c>
      <c r="C26" s="45"/>
      <c r="D26" s="49" t="s">
        <v>162</v>
      </c>
      <c r="E26" s="72">
        <f>Projekts!D32</f>
        <v>-41500</v>
      </c>
      <c r="F26" s="72">
        <f>Projekts!E32</f>
        <v>-41500</v>
      </c>
      <c r="G26" s="72">
        <f>Projekts!F32</f>
        <v>-41500</v>
      </c>
      <c r="H26" s="72">
        <f>Projekts!G32</f>
        <v>-41500</v>
      </c>
      <c r="I26" s="72">
        <f>Projekts!H32</f>
        <v>-41500</v>
      </c>
      <c r="J26" s="72">
        <f>Projekts!I32</f>
        <v>-52750</v>
      </c>
      <c r="K26" s="72">
        <f>Projekts!J32</f>
        <v>-52750</v>
      </c>
      <c r="L26" s="72">
        <f>Projekts!K32</f>
        <v>-52750</v>
      </c>
      <c r="M26" s="72">
        <f>Projekts!L32</f>
        <v>-52750</v>
      </c>
      <c r="N26" s="72">
        <f>Projekts!M32</f>
        <v>-52750</v>
      </c>
      <c r="O26" s="72">
        <f>Projekts!N32</f>
        <v>0</v>
      </c>
      <c r="P26" s="50"/>
      <c r="Q26" s="55">
        <f t="shared" si="1"/>
        <v>-471250</v>
      </c>
      <c r="R26" s="45"/>
      <c r="S26" s="45"/>
      <c r="T26" s="45"/>
      <c r="U26" s="45"/>
      <c r="V26" s="45"/>
      <c r="W26" s="45"/>
      <c r="X26" s="45"/>
      <c r="Y26" s="45"/>
      <c r="Z26" s="45"/>
    </row>
    <row r="27" spans="2:26" x14ac:dyDescent="0.25">
      <c r="B27" s="83" t="str">
        <f>Projekts!B35</f>
        <v>2. Ēku uzturēšana un remonti</v>
      </c>
      <c r="C27" s="45"/>
      <c r="D27" s="49" t="s">
        <v>162</v>
      </c>
      <c r="E27" s="72">
        <f>Projekts!D35</f>
        <v>-29550</v>
      </c>
      <c r="F27" s="72">
        <f>Projekts!E35</f>
        <v>-32895</v>
      </c>
      <c r="G27" s="72">
        <f>Projekts!F35</f>
        <v>-33552.9</v>
      </c>
      <c r="H27" s="72">
        <f>Projekts!G35</f>
        <v>-34223.957999999999</v>
      </c>
      <c r="I27" s="72">
        <f>Projekts!H35</f>
        <v>-34908.437160000001</v>
      </c>
      <c r="J27" s="72">
        <f>Projekts!I35</f>
        <v>-35606.605903200005</v>
      </c>
      <c r="K27" s="72">
        <f>Projekts!J35</f>
        <v>-36318.738021264006</v>
      </c>
      <c r="L27" s="72">
        <f>Projekts!K35</f>
        <v>-37045.112781689284</v>
      </c>
      <c r="M27" s="72">
        <f>Projekts!L35</f>
        <v>-37786.015037323072</v>
      </c>
      <c r="N27" s="72">
        <f>Projekts!M35</f>
        <v>-38541.735338069535</v>
      </c>
      <c r="O27" s="72"/>
      <c r="P27" s="50"/>
      <c r="Q27" s="55">
        <f t="shared" si="1"/>
        <v>-350428.50224154588</v>
      </c>
      <c r="R27" s="45"/>
      <c r="S27" s="45"/>
      <c r="T27" s="45"/>
      <c r="U27" s="45"/>
      <c r="V27" s="45"/>
      <c r="W27" s="45"/>
      <c r="X27" s="45"/>
      <c r="Y27" s="45"/>
      <c r="Z27" s="45"/>
    </row>
    <row r="28" spans="2:26" hidden="1" x14ac:dyDescent="0.25">
      <c r="B28" s="83"/>
      <c r="C28" s="45"/>
      <c r="D28" s="49" t="s">
        <v>162</v>
      </c>
      <c r="E28" s="72"/>
      <c r="F28" s="72"/>
      <c r="G28" s="72"/>
      <c r="H28" s="72"/>
      <c r="I28" s="72"/>
      <c r="J28" s="72"/>
      <c r="K28" s="72"/>
      <c r="L28" s="72"/>
      <c r="M28" s="72"/>
      <c r="N28" s="72"/>
      <c r="O28" s="72"/>
      <c r="P28" s="50"/>
      <c r="Q28" s="55">
        <f t="shared" si="1"/>
        <v>0</v>
      </c>
      <c r="R28" s="45"/>
      <c r="S28" s="45"/>
      <c r="T28" s="45"/>
      <c r="U28" s="45"/>
      <c r="V28" s="45"/>
      <c r="W28" s="45"/>
      <c r="X28" s="45"/>
      <c r="Y28" s="45"/>
      <c r="Z28" s="45"/>
    </row>
    <row r="29" spans="2:26" hidden="1" x14ac:dyDescent="0.25">
      <c r="B29" s="83"/>
      <c r="C29" s="45"/>
      <c r="D29" s="49" t="s">
        <v>162</v>
      </c>
      <c r="E29" s="72"/>
      <c r="F29" s="72"/>
      <c r="G29" s="72"/>
      <c r="H29" s="72"/>
      <c r="I29" s="72"/>
      <c r="J29" s="72"/>
      <c r="K29" s="72"/>
      <c r="L29" s="72"/>
      <c r="M29" s="72"/>
      <c r="N29" s="72"/>
      <c r="O29" s="72"/>
      <c r="P29" s="50"/>
      <c r="Q29" s="55">
        <f t="shared" si="1"/>
        <v>0</v>
      </c>
      <c r="R29" s="45"/>
      <c r="S29" s="45"/>
      <c r="T29" s="45"/>
      <c r="U29" s="45"/>
      <c r="V29" s="45"/>
      <c r="W29" s="45"/>
      <c r="X29" s="45"/>
      <c r="Y29" s="45"/>
      <c r="Z29" s="45"/>
    </row>
    <row r="30" spans="2:26" x14ac:dyDescent="0.25">
      <c r="B30" s="53"/>
      <c r="C30" s="45"/>
      <c r="D30" s="49"/>
      <c r="E30" s="50"/>
      <c r="F30" s="50"/>
      <c r="G30" s="50"/>
      <c r="H30" s="50"/>
      <c r="I30" s="50"/>
      <c r="J30" s="50"/>
      <c r="K30" s="50"/>
      <c r="L30" s="50"/>
      <c r="M30" s="50"/>
      <c r="N30" s="50"/>
      <c r="O30" s="50"/>
      <c r="P30" s="50"/>
      <c r="Q30" s="50"/>
      <c r="R30" s="45"/>
      <c r="S30" s="45"/>
      <c r="T30" s="45"/>
      <c r="U30" s="45"/>
      <c r="V30" s="45"/>
      <c r="W30" s="45"/>
      <c r="X30" s="45"/>
      <c r="Y30" s="45"/>
      <c r="Z30" s="45"/>
    </row>
    <row r="31" spans="2:26" x14ac:dyDescent="0.25">
      <c r="B31" s="62" t="s">
        <v>154</v>
      </c>
      <c r="C31" s="45"/>
      <c r="D31" s="49"/>
      <c r="E31" s="55">
        <f>SUM(E32:E35)</f>
        <v>0</v>
      </c>
      <c r="F31" s="55">
        <f t="shared" ref="F31:O31" si="5">SUM(F32:F35)</f>
        <v>43373.26240396667</v>
      </c>
      <c r="G31" s="55">
        <f t="shared" si="5"/>
        <v>68010.764842521807</v>
      </c>
      <c r="H31" s="55">
        <f t="shared" si="5"/>
        <v>71095.476461734957</v>
      </c>
      <c r="I31" s="55">
        <f t="shared" si="5"/>
        <v>74320.098958229704</v>
      </c>
      <c r="J31" s="55">
        <f t="shared" si="5"/>
        <v>77690.978161372943</v>
      </c>
      <c r="K31" s="55">
        <f t="shared" si="5"/>
        <v>81214.747723402426</v>
      </c>
      <c r="L31" s="55">
        <f t="shared" si="5"/>
        <v>84898.342173985802</v>
      </c>
      <c r="M31" s="55">
        <f t="shared" si="5"/>
        <v>88749.010566885423</v>
      </c>
      <c r="N31" s="55">
        <f t="shared" si="5"/>
        <v>92774.330745584244</v>
      </c>
      <c r="O31" s="55">
        <f t="shared" si="5"/>
        <v>0</v>
      </c>
      <c r="P31" s="50"/>
      <c r="Q31" s="55">
        <f t="shared" si="1"/>
        <v>682127.01203768398</v>
      </c>
      <c r="R31" s="45"/>
      <c r="S31" s="45"/>
      <c r="T31" s="45"/>
      <c r="U31" s="45"/>
      <c r="V31" s="45"/>
      <c r="W31" s="45"/>
      <c r="X31" s="45"/>
      <c r="Y31" s="45"/>
      <c r="Z31" s="45"/>
    </row>
    <row r="32" spans="2:26" x14ac:dyDescent="0.25">
      <c r="B32" s="83" t="s">
        <v>249</v>
      </c>
      <c r="C32" s="45"/>
      <c r="D32" s="49" t="s">
        <v>163</v>
      </c>
      <c r="E32" s="72">
        <f>Projekts!D17</f>
        <v>0</v>
      </c>
      <c r="F32" s="72">
        <f>Projekts!E17</f>
        <v>34698.609923173339</v>
      </c>
      <c r="G32" s="72">
        <f>Projekts!F17</f>
        <v>54408.61187401745</v>
      </c>
      <c r="H32" s="72">
        <f>Projekts!G17</f>
        <v>56876.381169387969</v>
      </c>
      <c r="I32" s="72">
        <f>Projekts!H17</f>
        <v>59456.079166583768</v>
      </c>
      <c r="J32" s="72">
        <f>Projekts!I17</f>
        <v>62152.78252909836</v>
      </c>
      <c r="K32" s="72">
        <f>Projekts!J17</f>
        <v>64971.798178721947</v>
      </c>
      <c r="L32" s="72">
        <f>Projekts!K17</f>
        <v>67918.673739188642</v>
      </c>
      <c r="M32" s="72">
        <f>Projekts!L17</f>
        <v>70999.208453508341</v>
      </c>
      <c r="N32" s="72">
        <f>Projekts!M17</f>
        <v>74219.464596467398</v>
      </c>
      <c r="O32" s="72"/>
      <c r="P32" s="50"/>
      <c r="Q32" s="55">
        <f t="shared" si="1"/>
        <v>545701.60963014711</v>
      </c>
      <c r="R32" s="45"/>
      <c r="S32" s="45"/>
      <c r="T32" s="45"/>
      <c r="U32" s="45"/>
      <c r="V32" s="45"/>
      <c r="W32" s="45"/>
      <c r="X32" s="45"/>
      <c r="Y32" s="45"/>
      <c r="Z32" s="45"/>
    </row>
    <row r="33" spans="2:26" x14ac:dyDescent="0.25">
      <c r="B33" s="83" t="s">
        <v>250</v>
      </c>
      <c r="C33" s="45"/>
      <c r="D33" s="49" t="s">
        <v>163</v>
      </c>
      <c r="E33" s="72">
        <f>Projekts!D18</f>
        <v>0</v>
      </c>
      <c r="F33" s="72">
        <f>Projekts!E18</f>
        <v>8674.6524807933347</v>
      </c>
      <c r="G33" s="72">
        <f>Projekts!F18</f>
        <v>13602.152968504362</v>
      </c>
      <c r="H33" s="72">
        <f>Projekts!G18</f>
        <v>14219.095292346992</v>
      </c>
      <c r="I33" s="72">
        <f>Projekts!H18</f>
        <v>14864.019791645942</v>
      </c>
      <c r="J33" s="72">
        <f>Projekts!I18</f>
        <v>15538.19563227459</v>
      </c>
      <c r="K33" s="72">
        <f>Projekts!J18</f>
        <v>16242.949544680487</v>
      </c>
      <c r="L33" s="72">
        <f>Projekts!K18</f>
        <v>16979.66843479716</v>
      </c>
      <c r="M33" s="72">
        <f>Projekts!L18</f>
        <v>17749.802113377085</v>
      </c>
      <c r="N33" s="72">
        <f>Projekts!M18</f>
        <v>18554.86614911685</v>
      </c>
      <c r="O33" s="72"/>
      <c r="P33" s="50"/>
      <c r="Q33" s="55">
        <f t="shared" si="1"/>
        <v>136425.40240753678</v>
      </c>
      <c r="R33" s="45"/>
      <c r="S33" s="45"/>
      <c r="T33" s="45"/>
      <c r="U33" s="45"/>
      <c r="V33" s="45"/>
      <c r="W33" s="45"/>
      <c r="X33" s="45"/>
      <c r="Y33" s="45"/>
      <c r="Z33" s="45"/>
    </row>
    <row r="34" spans="2:26" hidden="1" x14ac:dyDescent="0.25">
      <c r="B34" s="83"/>
      <c r="C34" s="45"/>
      <c r="D34" s="49" t="s">
        <v>163</v>
      </c>
      <c r="E34" s="72"/>
      <c r="F34" s="72"/>
      <c r="G34" s="72"/>
      <c r="H34" s="72"/>
      <c r="I34" s="72"/>
      <c r="J34" s="72"/>
      <c r="K34" s="72"/>
      <c r="L34" s="72"/>
      <c r="M34" s="72"/>
      <c r="N34" s="72"/>
      <c r="O34" s="72"/>
      <c r="P34" s="50"/>
      <c r="Q34" s="55">
        <f t="shared" si="1"/>
        <v>0</v>
      </c>
      <c r="R34" s="45"/>
      <c r="S34" s="45"/>
      <c r="T34" s="45"/>
      <c r="U34" s="45"/>
      <c r="V34" s="45"/>
      <c r="W34" s="45"/>
      <c r="X34" s="45"/>
      <c r="Y34" s="45"/>
      <c r="Z34" s="45"/>
    </row>
    <row r="35" spans="2:26" hidden="1" x14ac:dyDescent="0.25">
      <c r="B35" s="83"/>
      <c r="C35" s="45"/>
      <c r="D35" s="49" t="s">
        <v>163</v>
      </c>
      <c r="E35" s="72"/>
      <c r="F35" s="72"/>
      <c r="G35" s="72"/>
      <c r="H35" s="72"/>
      <c r="I35" s="72"/>
      <c r="J35" s="72"/>
      <c r="K35" s="72"/>
      <c r="L35" s="72"/>
      <c r="M35" s="72"/>
      <c r="N35" s="72"/>
      <c r="O35" s="72"/>
      <c r="P35" s="50"/>
      <c r="Q35" s="55">
        <f t="shared" si="1"/>
        <v>0</v>
      </c>
      <c r="R35" s="45"/>
      <c r="S35" s="45"/>
      <c r="T35" s="45"/>
      <c r="U35" s="45"/>
      <c r="V35" s="45"/>
      <c r="W35" s="45"/>
      <c r="X35" s="45"/>
      <c r="Y35" s="45"/>
      <c r="Z35" s="45"/>
    </row>
    <row r="36" spans="2:26" x14ac:dyDescent="0.25">
      <c r="B36" s="40"/>
      <c r="C36" s="45"/>
      <c r="D36" s="45"/>
      <c r="E36" s="50"/>
      <c r="F36" s="50"/>
      <c r="G36" s="50"/>
      <c r="H36" s="50"/>
      <c r="I36" s="50"/>
      <c r="J36" s="50"/>
      <c r="K36" s="50"/>
      <c r="L36" s="50"/>
      <c r="M36" s="50"/>
      <c r="N36" s="50"/>
      <c r="O36" s="50"/>
      <c r="P36" s="50"/>
      <c r="Q36" s="50"/>
      <c r="R36" s="45"/>
      <c r="S36" s="45"/>
      <c r="T36" s="45"/>
      <c r="U36" s="45"/>
      <c r="V36" s="45"/>
      <c r="W36" s="45"/>
      <c r="X36" s="45"/>
      <c r="Y36" s="45"/>
      <c r="Z36" s="45"/>
    </row>
    <row r="37" spans="2:26" x14ac:dyDescent="0.25">
      <c r="B37" s="62" t="s">
        <v>149</v>
      </c>
      <c r="C37" s="45"/>
      <c r="D37" s="45"/>
      <c r="E37" s="55">
        <f>E13+E19+E31</f>
        <v>-922050</v>
      </c>
      <c r="F37" s="55">
        <f t="shared" ref="F37:O37" si="6">F13+F19+F31</f>
        <v>-453401.73759603332</v>
      </c>
      <c r="G37" s="55">
        <f t="shared" si="6"/>
        <v>-452362.13515747822</v>
      </c>
      <c r="H37" s="55">
        <f t="shared" si="6"/>
        <v>-455460.98153826501</v>
      </c>
      <c r="I37" s="55">
        <f t="shared" si="6"/>
        <v>-458708.96320177027</v>
      </c>
      <c r="J37" s="55">
        <f t="shared" si="6"/>
        <v>-529613.78399182705</v>
      </c>
      <c r="K37" s="55">
        <f t="shared" si="6"/>
        <v>-476933.55436036154</v>
      </c>
      <c r="L37" s="55">
        <f t="shared" si="6"/>
        <v>-480676.81287332845</v>
      </c>
      <c r="M37" s="55">
        <f t="shared" si="6"/>
        <v>-484602.54884934396</v>
      </c>
      <c r="N37" s="55">
        <f t="shared" si="6"/>
        <v>-488720.22619033686</v>
      </c>
      <c r="O37" s="55">
        <f t="shared" si="6"/>
        <v>0</v>
      </c>
      <c r="P37" s="50"/>
      <c r="Q37" s="55">
        <f t="shared" si="1"/>
        <v>-5202530.7437587446</v>
      </c>
      <c r="R37" s="45"/>
      <c r="S37" s="45"/>
      <c r="T37" s="45"/>
      <c r="U37" s="45"/>
      <c r="V37" s="45"/>
      <c r="W37" s="45"/>
      <c r="X37" s="45"/>
      <c r="Y37" s="45"/>
      <c r="Z37" s="45"/>
    </row>
    <row r="38" spans="2:26" x14ac:dyDescent="0.25">
      <c r="B38" s="40"/>
      <c r="C38" s="45"/>
      <c r="D38" s="45"/>
      <c r="E38" s="45"/>
      <c r="F38" s="45"/>
      <c r="G38" s="45"/>
      <c r="H38" s="45"/>
      <c r="I38" s="45"/>
      <c r="J38" s="45"/>
      <c r="K38" s="45"/>
      <c r="L38" s="45"/>
      <c r="M38" s="45"/>
      <c r="N38" s="45"/>
      <c r="O38" s="45"/>
      <c r="P38" s="45"/>
      <c r="Q38" s="50"/>
      <c r="R38" s="45"/>
      <c r="S38" s="45"/>
      <c r="T38" s="45"/>
      <c r="U38" s="45"/>
      <c r="V38" s="45"/>
      <c r="W38" s="45"/>
      <c r="X38" s="45"/>
      <c r="Y38" s="45"/>
      <c r="Z38" s="45"/>
    </row>
    <row r="39" spans="2:26" x14ac:dyDescent="0.25">
      <c r="B39" s="52" t="s">
        <v>158</v>
      </c>
      <c r="C39" s="45"/>
      <c r="D39" s="45"/>
      <c r="E39" s="242" t="s">
        <v>144</v>
      </c>
      <c r="F39" s="45"/>
      <c r="G39" s="45"/>
      <c r="H39" s="45"/>
      <c r="I39" s="45"/>
      <c r="J39" s="45"/>
      <c r="K39" s="45"/>
      <c r="L39" s="45"/>
      <c r="M39" s="45"/>
      <c r="N39" s="45"/>
      <c r="O39" s="45"/>
      <c r="P39" s="45"/>
      <c r="Q39" s="50"/>
      <c r="R39" s="45"/>
      <c r="S39" s="45"/>
      <c r="T39" s="45"/>
      <c r="U39" s="45"/>
      <c r="V39" s="45"/>
      <c r="W39" s="45"/>
      <c r="X39" s="45"/>
      <c r="Y39" s="45"/>
      <c r="Z39" s="45"/>
    </row>
    <row r="40" spans="2:26" x14ac:dyDescent="0.25">
      <c r="B40" s="40"/>
      <c r="C40" s="45"/>
      <c r="D40" s="45"/>
      <c r="E40" s="45"/>
      <c r="F40" s="45"/>
      <c r="G40" s="45"/>
      <c r="H40" s="45"/>
      <c r="I40" s="45"/>
      <c r="J40" s="45"/>
      <c r="K40" s="45"/>
      <c r="L40" s="45"/>
      <c r="M40" s="45"/>
      <c r="N40" s="45"/>
      <c r="O40" s="45"/>
      <c r="P40" s="45"/>
      <c r="Q40" s="50"/>
      <c r="R40" s="45"/>
      <c r="S40" s="45"/>
      <c r="T40" s="45"/>
      <c r="U40" s="45"/>
      <c r="V40" s="45"/>
      <c r="W40" s="45"/>
      <c r="X40" s="45"/>
      <c r="Y40" s="45"/>
      <c r="Z40" s="45"/>
    </row>
    <row r="41" spans="2:26" x14ac:dyDescent="0.25">
      <c r="B41" s="56" t="s">
        <v>159</v>
      </c>
      <c r="C41" s="57"/>
      <c r="D41" s="57"/>
      <c r="E41" s="81">
        <f>IFERROR(1/((1+$E$6+E10)^E9),"-")</f>
        <v>0.94339622641509424</v>
      </c>
      <c r="F41" s="81">
        <f t="shared" ref="F41:O41" si="7">IFERROR(1/((1+$E$6+F10)^F9),"-")</f>
        <v>0.88999644001423983</v>
      </c>
      <c r="G41" s="81">
        <f t="shared" si="7"/>
        <v>0.8396192830323016</v>
      </c>
      <c r="H41" s="81">
        <f t="shared" si="7"/>
        <v>0.79209366323802044</v>
      </c>
      <c r="I41" s="81">
        <f t="shared" si="7"/>
        <v>0.74725817286605689</v>
      </c>
      <c r="J41" s="81">
        <f t="shared" si="7"/>
        <v>0.70496054043967626</v>
      </c>
      <c r="K41" s="81">
        <f t="shared" si="7"/>
        <v>0.66505711362233599</v>
      </c>
      <c r="L41" s="81">
        <f t="shared" si="7"/>
        <v>0.62741237134182648</v>
      </c>
      <c r="M41" s="81">
        <f t="shared" si="7"/>
        <v>0.59189846353002495</v>
      </c>
      <c r="N41" s="81">
        <f t="shared" si="7"/>
        <v>0.55839477691511785</v>
      </c>
      <c r="O41" s="81" t="str">
        <f t="shared" si="7"/>
        <v>-</v>
      </c>
      <c r="P41" s="45"/>
      <c r="Q41" s="85"/>
      <c r="R41" s="45"/>
      <c r="S41" s="45"/>
      <c r="T41" s="45"/>
      <c r="U41" s="45"/>
      <c r="V41" s="45"/>
      <c r="W41" s="45"/>
      <c r="X41" s="45"/>
      <c r="Y41" s="45"/>
      <c r="Z41" s="45"/>
    </row>
    <row r="42" spans="2:26" x14ac:dyDescent="0.25">
      <c r="B42" s="56" t="s">
        <v>160</v>
      </c>
      <c r="C42" s="57"/>
      <c r="D42" s="57"/>
      <c r="E42" s="82">
        <f>IFERROR(E37*E41,"-")</f>
        <v>-869858.4905660376</v>
      </c>
      <c r="F42" s="82">
        <f t="shared" ref="F42:O42" si="8">IFERROR(F37*F41,"-")</f>
        <v>-403525.93235674017</v>
      </c>
      <c r="G42" s="82">
        <f t="shared" si="8"/>
        <v>-379811.97159188299</v>
      </c>
      <c r="H42" s="82">
        <f t="shared" si="8"/>
        <v>-360767.75732862874</v>
      </c>
      <c r="I42" s="82">
        <f t="shared" si="8"/>
        <v>-342774.0217194382</v>
      </c>
      <c r="J42" s="82">
        <f t="shared" si="8"/>
        <v>-373356.81938718038</v>
      </c>
      <c r="K42" s="82">
        <f t="shared" si="8"/>
        <v>-317188.05305254355</v>
      </c>
      <c r="L42" s="82">
        <f t="shared" si="8"/>
        <v>-301582.5790138864</v>
      </c>
      <c r="M42" s="82">
        <f t="shared" si="8"/>
        <v>-286835.50408666057</v>
      </c>
      <c r="N42" s="82">
        <f t="shared" si="8"/>
        <v>-272898.82167745911</v>
      </c>
      <c r="O42" s="82" t="str">
        <f t="shared" si="8"/>
        <v>-</v>
      </c>
      <c r="P42" s="50"/>
      <c r="Q42" s="55">
        <f t="shared" si="1"/>
        <v>-3908599.9507804578</v>
      </c>
      <c r="R42" s="45"/>
      <c r="S42" s="45"/>
      <c r="T42" s="45"/>
      <c r="U42" s="45"/>
      <c r="V42" s="45"/>
      <c r="W42" s="45"/>
      <c r="X42" s="45"/>
      <c r="Y42" s="45"/>
      <c r="Z42" s="45"/>
    </row>
    <row r="43" spans="2:26" x14ac:dyDescent="0.25">
      <c r="B43" s="40"/>
      <c r="C43" s="45"/>
      <c r="D43" s="45"/>
      <c r="E43" s="50"/>
      <c r="F43" s="50"/>
      <c r="G43" s="50"/>
      <c r="H43" s="50"/>
      <c r="I43" s="50"/>
      <c r="J43" s="50"/>
      <c r="K43" s="50"/>
      <c r="L43" s="50"/>
      <c r="M43" s="50"/>
      <c r="N43" s="50"/>
      <c r="O43" s="50"/>
      <c r="P43" s="50"/>
      <c r="Q43" s="50"/>
      <c r="R43" s="45"/>
      <c r="S43" s="45"/>
      <c r="T43" s="45"/>
      <c r="U43" s="45"/>
      <c r="V43" s="45"/>
      <c r="W43" s="45"/>
      <c r="X43" s="45"/>
      <c r="Y43" s="45"/>
      <c r="Z43" s="45"/>
    </row>
    <row r="44" spans="2:26" x14ac:dyDescent="0.25">
      <c r="B44" s="52" t="s">
        <v>164</v>
      </c>
      <c r="C44" s="45"/>
      <c r="D44" s="45"/>
      <c r="E44" s="60">
        <f>SUM(E42:O42)</f>
        <v>-3908599.9507804578</v>
      </c>
      <c r="F44" s="170" t="s">
        <v>217</v>
      </c>
      <c r="G44" s="50"/>
      <c r="H44" s="50"/>
      <c r="I44" s="50"/>
      <c r="J44" s="50"/>
      <c r="K44" s="50"/>
      <c r="L44" s="50"/>
      <c r="M44" s="50"/>
      <c r="N44" s="50"/>
      <c r="O44" s="50"/>
      <c r="P44" s="50"/>
      <c r="Q44" s="50"/>
      <c r="R44" s="45"/>
      <c r="S44" s="45"/>
      <c r="T44" s="45"/>
      <c r="U44" s="45"/>
      <c r="V44" s="45"/>
      <c r="W44" s="45"/>
      <c r="X44" s="45"/>
      <c r="Y44" s="45"/>
      <c r="Z44" s="45"/>
    </row>
    <row r="45" spans="2:26" x14ac:dyDescent="0.25">
      <c r="B45" s="40"/>
      <c r="C45" s="45"/>
      <c r="D45" s="45"/>
      <c r="E45" s="50"/>
      <c r="F45" s="50"/>
      <c r="G45" s="50"/>
      <c r="H45" s="50"/>
      <c r="I45" s="50"/>
      <c r="J45" s="50"/>
      <c r="K45" s="50"/>
      <c r="L45" s="50"/>
      <c r="M45" s="50"/>
      <c r="N45" s="50"/>
      <c r="O45" s="50"/>
      <c r="P45" s="50"/>
      <c r="Q45" s="50"/>
      <c r="R45" s="45"/>
      <c r="S45" s="45"/>
      <c r="T45" s="45"/>
      <c r="U45" s="45"/>
      <c r="V45" s="45"/>
      <c r="W45" s="45"/>
      <c r="X45" s="45"/>
      <c r="Y45" s="45"/>
      <c r="Z45" s="45"/>
    </row>
    <row r="46" spans="2:26" x14ac:dyDescent="0.25">
      <c r="B46" s="62" t="s">
        <v>166</v>
      </c>
      <c r="C46" s="45"/>
      <c r="D46" s="45"/>
      <c r="E46" s="55">
        <f>SUM(E47:E49)</f>
        <v>-61190</v>
      </c>
      <c r="F46" s="55">
        <f t="shared" ref="F46:O46" si="9">SUM(F47:F49)</f>
        <v>-9419.0224818340339</v>
      </c>
      <c r="G46" s="55">
        <f t="shared" si="9"/>
        <v>-4012.6351257087872</v>
      </c>
      <c r="H46" s="55">
        <f t="shared" si="9"/>
        <v>-4194.6331112423632</v>
      </c>
      <c r="I46" s="55">
        <f t="shared" si="9"/>
        <v>-4384.8858385355525</v>
      </c>
      <c r="J46" s="55">
        <f t="shared" si="9"/>
        <v>-9646.2677115210045</v>
      </c>
      <c r="K46" s="55">
        <f t="shared" si="9"/>
        <v>-4791.6701156807439</v>
      </c>
      <c r="L46" s="55">
        <f t="shared" si="9"/>
        <v>-5009.0021882651627</v>
      </c>
      <c r="M46" s="55">
        <f t="shared" si="9"/>
        <v>-5236.1916234462406</v>
      </c>
      <c r="N46" s="55">
        <f t="shared" si="9"/>
        <v>-5473.6855139894706</v>
      </c>
      <c r="O46" s="55">
        <f t="shared" si="9"/>
        <v>0</v>
      </c>
      <c r="P46" s="50"/>
      <c r="Q46" s="55">
        <f t="shared" si="1"/>
        <v>-113357.99371022337</v>
      </c>
      <c r="R46" s="45"/>
      <c r="S46" s="45"/>
      <c r="T46" s="45"/>
      <c r="U46" s="45"/>
      <c r="V46" s="45"/>
      <c r="W46" s="45"/>
      <c r="X46" s="45"/>
      <c r="Y46" s="45"/>
      <c r="Z46" s="45"/>
    </row>
    <row r="47" spans="2:26" x14ac:dyDescent="0.25">
      <c r="B47" s="56" t="s">
        <v>129</v>
      </c>
      <c r="C47" s="57"/>
      <c r="D47" s="58" t="s">
        <v>162</v>
      </c>
      <c r="E47" s="72">
        <f>E13*'Risku analīze'!$E$85+NPV_Bāze_I!E14*'Risku analīze'!$E$86</f>
        <v>-61190</v>
      </c>
      <c r="F47" s="72">
        <f>F13*'Risku analīze'!$E$85+NPV_Bāze_I!F14*'Risku analīze'!$E$86</f>
        <v>-6860</v>
      </c>
      <c r="G47" s="72">
        <f>G13*'Risku analīze'!$E$85+NPV_Bāze_I!G14*'Risku analīze'!$E$86</f>
        <v>0</v>
      </c>
      <c r="H47" s="72">
        <f>H13*'Risku analīze'!$E$85+NPV_Bāze_I!H14*'Risku analīze'!$E$86</f>
        <v>0</v>
      </c>
      <c r="I47" s="72">
        <f>I13*'Risku analīze'!$E$85+NPV_Bāze_I!I14*'Risku analīze'!$E$86</f>
        <v>0</v>
      </c>
      <c r="J47" s="72">
        <f>J13*'Risku analīze'!$E$85+NPV_Bāze_I!J14*'Risku analīze'!$E$86</f>
        <v>-5062.5</v>
      </c>
      <c r="K47" s="72">
        <f>K13*'Risku analīze'!$E$85+NPV_Bāze_I!K14*'Risku analīze'!$E$86</f>
        <v>0</v>
      </c>
      <c r="L47" s="72">
        <f>L13*'Risku analīze'!$E$85+NPV_Bāze_I!L14*'Risku analīze'!$E$86</f>
        <v>0</v>
      </c>
      <c r="M47" s="72">
        <f>M13*'Risku analīze'!$E$85+NPV_Bāze_I!M14*'Risku analīze'!$E$86</f>
        <v>0</v>
      </c>
      <c r="N47" s="72">
        <f>N13*'Risku analīze'!$E$85+NPV_Bāze_I!N14*'Risku analīze'!$E$86</f>
        <v>0</v>
      </c>
      <c r="O47" s="72">
        <f>O13*'Risku analīze'!$E$85+NPV_Bāze_I!O14*'Risku analīze'!$E$86</f>
        <v>0</v>
      </c>
      <c r="P47" s="50"/>
      <c r="Q47" s="55">
        <f t="shared" si="1"/>
        <v>-73112.5</v>
      </c>
      <c r="R47" s="45"/>
      <c r="S47" s="45"/>
      <c r="T47" s="45"/>
      <c r="U47" s="45"/>
      <c r="V47" s="45"/>
      <c r="W47" s="45"/>
      <c r="X47" s="45"/>
      <c r="Y47" s="45"/>
      <c r="Z47" s="45"/>
    </row>
    <row r="48" spans="2:26" x14ac:dyDescent="0.25">
      <c r="B48" s="56" t="s">
        <v>130</v>
      </c>
      <c r="C48" s="57"/>
      <c r="D48" s="58" t="s">
        <v>162</v>
      </c>
      <c r="E48" s="72">
        <f>-E31*'Risku analīze'!$E$88</f>
        <v>0</v>
      </c>
      <c r="F48" s="72">
        <f>-F31*'Risku analīze'!$E$88</f>
        <v>-650.59893605950003</v>
      </c>
      <c r="G48" s="72">
        <f>-G31*'Risku analīze'!$E$88</f>
        <v>-1020.161472637827</v>
      </c>
      <c r="H48" s="72">
        <f>-H31*'Risku analīze'!$E$88</f>
        <v>-1066.4321469260244</v>
      </c>
      <c r="I48" s="72">
        <f>-I31*'Risku analīze'!$E$88</f>
        <v>-1114.8014843734454</v>
      </c>
      <c r="J48" s="72">
        <f>-J31*'Risku analīze'!$E$88</f>
        <v>-1165.3646724205942</v>
      </c>
      <c r="K48" s="72">
        <f>-K31*'Risku analīze'!$E$88</f>
        <v>-1218.2212158510363</v>
      </c>
      <c r="L48" s="72">
        <f>-L31*'Risku analīze'!$E$88</f>
        <v>-1273.4751326097869</v>
      </c>
      <c r="M48" s="72">
        <f>-M31*'Risku analīze'!$E$88</f>
        <v>-1331.2351585032814</v>
      </c>
      <c r="N48" s="72">
        <f>-N31*'Risku analīze'!$E$88</f>
        <v>-1391.6149611837636</v>
      </c>
      <c r="O48" s="72">
        <f>-O31*'Risku analīze'!$E$88</f>
        <v>0</v>
      </c>
      <c r="P48" s="50"/>
      <c r="Q48" s="55">
        <f t="shared" si="1"/>
        <v>-10231.90518056526</v>
      </c>
      <c r="R48" s="45"/>
      <c r="S48" s="45"/>
      <c r="T48" s="45"/>
      <c r="U48" s="45"/>
      <c r="V48" s="45"/>
      <c r="W48" s="45"/>
      <c r="X48" s="45"/>
      <c r="Y48" s="45"/>
      <c r="Z48" s="45"/>
    </row>
    <row r="49" spans="2:26" x14ac:dyDescent="0.25">
      <c r="B49" s="56" t="s">
        <v>131</v>
      </c>
      <c r="C49" s="57"/>
      <c r="D49" s="58" t="s">
        <v>162</v>
      </c>
      <c r="E49" s="72">
        <f>-E32*'Risku analīze'!$E$91</f>
        <v>0</v>
      </c>
      <c r="F49" s="72">
        <f>-F32*'Risku analīze'!$E$91</f>
        <v>-1908.423545774534</v>
      </c>
      <c r="G49" s="72">
        <f>-G32*'Risku analīze'!$E$91</f>
        <v>-2992.4736530709602</v>
      </c>
      <c r="H49" s="72">
        <f>-H32*'Risku analīze'!$E$91</f>
        <v>-3128.2009643163387</v>
      </c>
      <c r="I49" s="72">
        <f>-I32*'Risku analīze'!$E$91</f>
        <v>-3270.0843541621075</v>
      </c>
      <c r="J49" s="72">
        <f>-J32*'Risku analīze'!$E$91</f>
        <v>-3418.4030391004103</v>
      </c>
      <c r="K49" s="72">
        <f>-K32*'Risku analīze'!$E$91</f>
        <v>-3573.4488998297074</v>
      </c>
      <c r="L49" s="72">
        <f>-L32*'Risku analīze'!$E$91</f>
        <v>-3735.527055655376</v>
      </c>
      <c r="M49" s="72">
        <f>-M32*'Risku analīze'!$E$91</f>
        <v>-3904.9564649429594</v>
      </c>
      <c r="N49" s="72">
        <f>-N32*'Risku analīze'!$E$91</f>
        <v>-4082.0705528057074</v>
      </c>
      <c r="O49" s="72">
        <f>-O32*'Risku analīze'!$E$91</f>
        <v>0</v>
      </c>
      <c r="P49" s="50"/>
      <c r="Q49" s="55">
        <f t="shared" si="1"/>
        <v>-30013.5885296581</v>
      </c>
      <c r="R49" s="45"/>
      <c r="S49" s="45"/>
      <c r="T49" s="45"/>
      <c r="U49" s="45"/>
      <c r="V49" s="45"/>
      <c r="W49" s="45"/>
      <c r="X49" s="45"/>
      <c r="Y49" s="45"/>
      <c r="Z49" s="45"/>
    </row>
    <row r="50" spans="2:26" x14ac:dyDescent="0.25">
      <c r="B50" s="40"/>
      <c r="C50" s="45"/>
      <c r="D50" s="45"/>
      <c r="E50" s="50"/>
      <c r="F50" s="50"/>
      <c r="G50" s="50"/>
      <c r="H50" s="50"/>
      <c r="I50" s="50"/>
      <c r="J50" s="50"/>
      <c r="K50" s="50"/>
      <c r="L50" s="50"/>
      <c r="M50" s="50"/>
      <c r="N50" s="50"/>
      <c r="O50" s="50"/>
      <c r="P50" s="50"/>
      <c r="Q50" s="50"/>
      <c r="R50" s="45"/>
      <c r="S50" s="45"/>
      <c r="T50" s="45"/>
      <c r="U50" s="45"/>
      <c r="V50" s="45"/>
      <c r="W50" s="45"/>
      <c r="X50" s="45"/>
      <c r="Y50" s="45"/>
      <c r="Z50" s="45"/>
    </row>
    <row r="51" spans="2:26" x14ac:dyDescent="0.25">
      <c r="B51" s="99" t="s">
        <v>167</v>
      </c>
      <c r="C51" s="45"/>
      <c r="D51" s="45"/>
      <c r="E51" s="82">
        <f>IFERROR(E46*E41,"-")</f>
        <v>-57726.415094339616</v>
      </c>
      <c r="F51" s="82">
        <f t="shared" ref="F51:O51" si="10">IFERROR(F46*F41,"-")</f>
        <v>-8382.8964772463805</v>
      </c>
      <c r="G51" s="82">
        <f t="shared" si="10"/>
        <v>-3369.0858273178414</v>
      </c>
      <c r="H51" s="82">
        <f t="shared" si="10"/>
        <v>-3322.5423070234583</v>
      </c>
      <c r="I51" s="82">
        <f t="shared" si="10"/>
        <v>-3276.6417799303249</v>
      </c>
      <c r="J51" s="82">
        <f t="shared" si="10"/>
        <v>-6800.2380991396467</v>
      </c>
      <c r="K51" s="82">
        <f t="shared" si="10"/>
        <v>-3186.7342965650405</v>
      </c>
      <c r="L51" s="82">
        <f t="shared" si="10"/>
        <v>-3142.7099409958437</v>
      </c>
      <c r="M51" s="82">
        <f t="shared" si="10"/>
        <v>-3099.2937766666168</v>
      </c>
      <c r="N51" s="82">
        <f t="shared" si="10"/>
        <v>-3056.4774014876625</v>
      </c>
      <c r="O51" s="82" t="str">
        <f t="shared" si="10"/>
        <v>-</v>
      </c>
      <c r="P51" s="50"/>
      <c r="Q51" s="55">
        <f t="shared" si="1"/>
        <v>-95363.035000712451</v>
      </c>
      <c r="R51" s="45"/>
      <c r="S51" s="45"/>
      <c r="T51" s="45"/>
      <c r="U51" s="45"/>
      <c r="V51" s="45"/>
      <c r="W51" s="45"/>
      <c r="X51" s="45"/>
      <c r="Y51" s="45"/>
      <c r="Z51" s="45"/>
    </row>
    <row r="52" spans="2:26" x14ac:dyDescent="0.25">
      <c r="B52" s="40"/>
      <c r="C52" s="45"/>
      <c r="D52" s="45"/>
      <c r="E52" s="50"/>
      <c r="F52" s="50"/>
      <c r="G52" s="50"/>
      <c r="H52" s="50"/>
      <c r="I52" s="50"/>
      <c r="J52" s="50"/>
      <c r="K52" s="50"/>
      <c r="L52" s="50"/>
      <c r="M52" s="50"/>
      <c r="N52" s="50"/>
      <c r="O52" s="50"/>
      <c r="P52" s="50"/>
      <c r="Q52" s="50"/>
      <c r="R52" s="45"/>
      <c r="S52" s="45"/>
      <c r="T52" s="45"/>
      <c r="U52" s="45"/>
      <c r="V52" s="45"/>
      <c r="W52" s="45"/>
      <c r="X52" s="45"/>
      <c r="Y52" s="45"/>
      <c r="Z52" s="45"/>
    </row>
    <row r="53" spans="2:26" x14ac:dyDescent="0.25">
      <c r="B53" s="52" t="s">
        <v>168</v>
      </c>
      <c r="C53" s="45"/>
      <c r="D53" s="45"/>
      <c r="E53" s="60">
        <f>SUM(E51:O51)</f>
        <v>-95363.035000712451</v>
      </c>
      <c r="F53" s="170" t="s">
        <v>217</v>
      </c>
      <c r="G53" s="50"/>
      <c r="H53" s="50"/>
      <c r="I53" s="50"/>
      <c r="J53" s="50"/>
      <c r="K53" s="50"/>
      <c r="L53" s="50"/>
      <c r="M53" s="50"/>
      <c r="N53" s="50"/>
      <c r="O53" s="50"/>
      <c r="P53" s="50"/>
      <c r="Q53" s="50"/>
      <c r="R53" s="45"/>
      <c r="S53" s="45"/>
      <c r="T53" s="45"/>
      <c r="U53" s="45"/>
      <c r="V53" s="45"/>
      <c r="W53" s="45"/>
      <c r="X53" s="45"/>
      <c r="Y53" s="45"/>
      <c r="Z53" s="45"/>
    </row>
    <row r="54" spans="2:26" x14ac:dyDescent="0.25">
      <c r="B54" s="40"/>
      <c r="C54" s="45"/>
      <c r="D54" s="45"/>
      <c r="E54" s="50"/>
      <c r="F54" s="50"/>
      <c r="G54" s="50"/>
      <c r="H54" s="50"/>
      <c r="I54" s="50"/>
      <c r="J54" s="50"/>
      <c r="K54" s="50"/>
      <c r="L54" s="50"/>
      <c r="M54" s="50"/>
      <c r="N54" s="50"/>
      <c r="O54" s="50"/>
      <c r="P54" s="50"/>
      <c r="Q54" s="50"/>
      <c r="R54" s="45"/>
      <c r="S54" s="45"/>
      <c r="T54" s="45"/>
      <c r="U54" s="45"/>
      <c r="V54" s="45"/>
      <c r="W54" s="45"/>
      <c r="X54" s="45"/>
      <c r="Y54" s="45"/>
      <c r="Z54" s="45"/>
    </row>
    <row r="55" spans="2:26" x14ac:dyDescent="0.25">
      <c r="B55" s="62" t="s">
        <v>165</v>
      </c>
      <c r="C55" s="45"/>
      <c r="D55" s="45"/>
      <c r="E55" s="55">
        <f>E37+E46</f>
        <v>-983240</v>
      </c>
      <c r="F55" s="55">
        <f t="shared" ref="F55:O55" si="11">F37+F46</f>
        <v>-462820.76007786737</v>
      </c>
      <c r="G55" s="55">
        <f t="shared" si="11"/>
        <v>-456374.77028318698</v>
      </c>
      <c r="H55" s="55">
        <f t="shared" si="11"/>
        <v>-459655.61464950739</v>
      </c>
      <c r="I55" s="55">
        <f t="shared" si="11"/>
        <v>-463093.84904030582</v>
      </c>
      <c r="J55" s="55">
        <f t="shared" si="11"/>
        <v>-539260.05170334806</v>
      </c>
      <c r="K55" s="55">
        <f t="shared" si="11"/>
        <v>-481725.22447604226</v>
      </c>
      <c r="L55" s="55">
        <f t="shared" si="11"/>
        <v>-485685.8150615936</v>
      </c>
      <c r="M55" s="55">
        <f t="shared" si="11"/>
        <v>-489838.7404727902</v>
      </c>
      <c r="N55" s="55">
        <f t="shared" si="11"/>
        <v>-494193.91170432634</v>
      </c>
      <c r="O55" s="55">
        <f t="shared" si="11"/>
        <v>0</v>
      </c>
      <c r="P55" s="50"/>
      <c r="Q55" s="55">
        <f t="shared" si="1"/>
        <v>-5315888.7374689672</v>
      </c>
      <c r="R55" s="45"/>
      <c r="S55" s="45"/>
      <c r="T55" s="45"/>
      <c r="U55" s="45"/>
      <c r="V55" s="45"/>
      <c r="W55" s="45"/>
      <c r="X55" s="45"/>
      <c r="Y55" s="45"/>
      <c r="Z55" s="45"/>
    </row>
    <row r="56" spans="2:26" x14ac:dyDescent="0.25">
      <c r="B56" s="56" t="s">
        <v>172</v>
      </c>
      <c r="C56" s="45"/>
      <c r="D56" s="45"/>
      <c r="E56" s="82">
        <f>IFERROR(E55*E41,"-")</f>
        <v>-927584.90566037723</v>
      </c>
      <c r="F56" s="82">
        <f t="shared" ref="F56:O56" si="12">IFERROR(F55*F41,"-")</f>
        <v>-411908.82883398654</v>
      </c>
      <c r="G56" s="82">
        <f t="shared" si="12"/>
        <v>-383181.05741920078</v>
      </c>
      <c r="H56" s="82">
        <f t="shared" si="12"/>
        <v>-364090.29963565222</v>
      </c>
      <c r="I56" s="82">
        <f t="shared" si="12"/>
        <v>-346050.66349936853</v>
      </c>
      <c r="J56" s="82">
        <f t="shared" si="12"/>
        <v>-380157.05748632003</v>
      </c>
      <c r="K56" s="82">
        <f t="shared" si="12"/>
        <v>-320374.78734910855</v>
      </c>
      <c r="L56" s="82">
        <f t="shared" si="12"/>
        <v>-304725.28895488224</v>
      </c>
      <c r="M56" s="82">
        <f t="shared" si="12"/>
        <v>-289934.7978633272</v>
      </c>
      <c r="N56" s="82">
        <f t="shared" si="12"/>
        <v>-275955.29907894676</v>
      </c>
      <c r="O56" s="82" t="str">
        <f t="shared" si="12"/>
        <v>-</v>
      </c>
      <c r="P56" s="50"/>
      <c r="Q56" s="55">
        <f t="shared" si="1"/>
        <v>-4003962.9857811704</v>
      </c>
      <c r="R56" s="45"/>
      <c r="S56" s="45"/>
      <c r="T56" s="45"/>
      <c r="U56" s="45"/>
      <c r="V56" s="45"/>
      <c r="W56" s="45"/>
      <c r="X56" s="45"/>
      <c r="Y56" s="45"/>
      <c r="Z56" s="45"/>
    </row>
    <row r="57" spans="2:26" x14ac:dyDescent="0.25">
      <c r="C57" s="45"/>
      <c r="D57" s="45"/>
      <c r="E57" s="50"/>
      <c r="F57" s="50"/>
      <c r="G57" s="50"/>
      <c r="H57" s="50"/>
      <c r="I57" s="50"/>
      <c r="J57" s="50"/>
      <c r="K57" s="50"/>
      <c r="L57" s="50"/>
      <c r="M57" s="50"/>
      <c r="N57" s="50"/>
      <c r="O57" s="50"/>
      <c r="P57" s="50"/>
      <c r="Q57" s="50"/>
      <c r="R57" s="45"/>
      <c r="S57" s="45"/>
      <c r="T57" s="45"/>
      <c r="U57" s="45"/>
      <c r="V57" s="45"/>
      <c r="W57" s="45"/>
      <c r="X57" s="45"/>
      <c r="Y57" s="45"/>
      <c r="Z57" s="45"/>
    </row>
    <row r="58" spans="2:26" x14ac:dyDescent="0.25">
      <c r="B58" s="97" t="s">
        <v>140</v>
      </c>
      <c r="C58" s="45"/>
      <c r="D58" s="45"/>
      <c r="E58" s="60">
        <f>SUM(E56:O56)</f>
        <v>-4003962.9857811704</v>
      </c>
      <c r="F58" s="170" t="s">
        <v>217</v>
      </c>
      <c r="G58" s="50"/>
      <c r="H58" s="50"/>
      <c r="I58" s="50"/>
      <c r="J58" s="50"/>
      <c r="K58" s="50"/>
      <c r="L58" s="50"/>
      <c r="M58" s="50"/>
      <c r="N58" s="50"/>
      <c r="O58" s="50"/>
      <c r="P58" s="50"/>
      <c r="Q58" s="50"/>
      <c r="R58" s="45"/>
      <c r="S58" s="45"/>
      <c r="T58" s="45"/>
      <c r="U58" s="45"/>
      <c r="V58" s="45"/>
      <c r="W58" s="45"/>
      <c r="X58" s="45"/>
      <c r="Y58" s="45"/>
      <c r="Z58" s="45"/>
    </row>
    <row r="59" spans="2:26" x14ac:dyDescent="0.25">
      <c r="C59" s="45"/>
      <c r="D59" s="45"/>
      <c r="E59" s="50"/>
      <c r="F59" s="50"/>
      <c r="G59" s="50"/>
      <c r="H59" s="50"/>
      <c r="I59" s="50"/>
      <c r="J59" s="50"/>
      <c r="K59" s="50"/>
      <c r="L59" s="50"/>
      <c r="M59" s="50"/>
      <c r="N59" s="50"/>
      <c r="O59" s="50"/>
      <c r="P59" s="50"/>
      <c r="Q59" s="50"/>
      <c r="R59" s="45"/>
      <c r="S59" s="45"/>
      <c r="T59" s="45"/>
      <c r="U59" s="45"/>
      <c r="V59" s="45"/>
      <c r="W59" s="45"/>
      <c r="X59" s="45"/>
      <c r="Y59" s="45"/>
      <c r="Z59" s="45"/>
    </row>
    <row r="60" spans="2:26" x14ac:dyDescent="0.25">
      <c r="B60" s="121" t="s">
        <v>146</v>
      </c>
      <c r="C60" s="45"/>
      <c r="D60" s="45"/>
      <c r="E60" s="89">
        <f>-E55</f>
        <v>983240</v>
      </c>
      <c r="F60" s="89">
        <f t="shared" ref="F60:M60" si="13">-F55</f>
        <v>462820.76007786737</v>
      </c>
      <c r="G60" s="89">
        <f t="shared" si="13"/>
        <v>456374.77028318698</v>
      </c>
      <c r="H60" s="89">
        <f t="shared" si="13"/>
        <v>459655.61464950739</v>
      </c>
      <c r="I60" s="89">
        <f t="shared" si="13"/>
        <v>463093.84904030582</v>
      </c>
      <c r="J60" s="89">
        <f t="shared" si="13"/>
        <v>539260.05170334806</v>
      </c>
      <c r="K60" s="89">
        <f t="shared" si="13"/>
        <v>481725.22447604226</v>
      </c>
      <c r="L60" s="89">
        <f t="shared" si="13"/>
        <v>485685.8150615936</v>
      </c>
      <c r="M60" s="89">
        <f t="shared" si="13"/>
        <v>489838.7404727902</v>
      </c>
      <c r="N60" s="89">
        <f>-N55+Projekts!M40</f>
        <v>894193.91170432628</v>
      </c>
      <c r="O60" s="89"/>
      <c r="P60" s="50"/>
      <c r="Q60" s="55">
        <f>SUM(E60:O60)</f>
        <v>5715888.7374689672</v>
      </c>
      <c r="R60" s="45"/>
      <c r="S60" s="45"/>
      <c r="T60" s="45"/>
      <c r="U60" s="45"/>
      <c r="V60" s="45"/>
      <c r="W60" s="45"/>
      <c r="X60" s="45"/>
      <c r="Y60" s="45"/>
      <c r="Z60" s="45"/>
    </row>
    <row r="61" spans="2:26" x14ac:dyDescent="0.25">
      <c r="C61" s="45"/>
      <c r="D61" s="45"/>
      <c r="E61" s="45"/>
      <c r="F61" s="45"/>
      <c r="G61" s="45"/>
      <c r="H61" s="45"/>
      <c r="I61" s="45"/>
      <c r="J61" s="45"/>
      <c r="K61" s="45"/>
      <c r="L61" s="45"/>
      <c r="M61" s="45"/>
      <c r="N61" s="45"/>
      <c r="O61" s="45"/>
      <c r="P61" s="45"/>
      <c r="Q61" s="45"/>
      <c r="R61" s="45"/>
      <c r="S61" s="45"/>
      <c r="T61" s="45"/>
      <c r="U61" s="45"/>
      <c r="V61" s="45"/>
      <c r="W61" s="45"/>
      <c r="X61" s="45"/>
      <c r="Y61" s="45"/>
      <c r="Z61" s="45"/>
    </row>
    <row r="62" spans="2:26" x14ac:dyDescent="0.25"/>
  </sheetData>
  <mergeCells count="1">
    <mergeCell ref="E2:G2"/>
  </mergeCells>
  <conditionalFormatting sqref="E2:G2">
    <cfRule type="cellIs" dxfId="18" priority="3" operator="equal">
      <formula>"NEAIZPILDĪT"</formula>
    </cfRule>
  </conditionalFormatting>
  <conditionalFormatting sqref="B5:Q13 C14:Q16 B17:Q60">
    <cfRule type="expression" dxfId="17" priority="2">
      <formula>$E$2="NEAIZPILDĪT"</formula>
    </cfRule>
  </conditionalFormatting>
  <conditionalFormatting sqref="B14:B16">
    <cfRule type="expression" dxfId="16" priority="1">
      <formula>$E$2="NEAIZPILDĪT"</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FBE42-6323-471E-86A3-3D6833E83914}">
  <sheetPr>
    <tabColor theme="8" tint="0.59999389629810485"/>
  </sheetPr>
  <dimension ref="A1:Z62"/>
  <sheetViews>
    <sheetView zoomScale="80" zoomScaleNormal="80" workbookViewId="0">
      <pane xSplit="4" ySplit="9" topLeftCell="E10" activePane="bottomRight" state="frozen"/>
      <selection pane="topRight" activeCell="E1" sqref="E1"/>
      <selection pane="bottomLeft" activeCell="A10" sqref="A10"/>
      <selection pane="bottomRight" activeCell="B14" sqref="B14"/>
    </sheetView>
  </sheetViews>
  <sheetFormatPr defaultColWidth="0" defaultRowHeight="12" customHeight="1" zeroHeight="1" outlineLevelCol="1" x14ac:dyDescent="0.25"/>
  <cols>
    <col min="1" max="1" width="8.88671875" style="1" customWidth="1"/>
    <col min="2" max="2" width="38.77734375" style="1" bestFit="1" customWidth="1"/>
    <col min="3" max="3" width="3.33203125" style="1" customWidth="1"/>
    <col min="4" max="4" width="12.6640625" style="1" hidden="1" customWidth="1" outlineLevel="1"/>
    <col min="5" max="5" width="10.33203125" style="1" bestFit="1" customWidth="1" collapsed="1"/>
    <col min="6" max="15" width="8.88671875" style="1" customWidth="1"/>
    <col min="16" max="16" width="3.44140625" style="1" customWidth="1"/>
    <col min="17" max="18" width="8.88671875" style="1" customWidth="1"/>
    <col min="19" max="16384" width="8.88671875" style="1" hidden="1"/>
  </cols>
  <sheetData>
    <row r="1" spans="2:26" x14ac:dyDescent="0.25"/>
    <row r="2" spans="2:26" ht="14.4" x14ac:dyDescent="0.3">
      <c r="B2" s="51" t="s">
        <v>235</v>
      </c>
      <c r="C2" s="51"/>
      <c r="D2" s="51"/>
      <c r="E2" s="263" t="str">
        <f>IF(Titullapa!$D$20="Jā","AIZPILDĪT","NEAIZPILDĪT")</f>
        <v>NEAIZPILDĪT</v>
      </c>
      <c r="F2" s="263"/>
      <c r="G2" s="263"/>
      <c r="H2" s="51"/>
      <c r="I2" s="51"/>
      <c r="J2" s="51"/>
      <c r="K2" s="51"/>
      <c r="L2" s="51"/>
      <c r="M2" s="51"/>
      <c r="N2" s="51"/>
      <c r="O2" s="51"/>
    </row>
    <row r="3" spans="2:26" x14ac:dyDescent="0.25"/>
    <row r="4" spans="2:26" x14ac:dyDescent="0.25"/>
    <row r="5" spans="2:26" x14ac:dyDescent="0.25">
      <c r="B5" s="54" t="s">
        <v>147</v>
      </c>
      <c r="E5" s="63" t="s">
        <v>137</v>
      </c>
    </row>
    <row r="6" spans="2:26" x14ac:dyDescent="0.25">
      <c r="B6" s="54" t="s">
        <v>194</v>
      </c>
      <c r="C6" s="45"/>
      <c r="D6" s="45"/>
      <c r="E6" s="65">
        <f>Pieņēmumi!C8</f>
        <v>0.04</v>
      </c>
      <c r="F6" s="45"/>
      <c r="G6" s="45"/>
      <c r="H6" s="45"/>
      <c r="I6" s="45"/>
      <c r="J6" s="45"/>
      <c r="K6" s="45"/>
      <c r="L6" s="45"/>
      <c r="M6" s="45"/>
      <c r="N6" s="45"/>
      <c r="O6" s="45"/>
      <c r="P6" s="45"/>
      <c r="Q6" s="45"/>
      <c r="R6" s="45"/>
      <c r="S6" s="45"/>
      <c r="T6" s="45"/>
      <c r="U6" s="45"/>
      <c r="V6" s="45"/>
      <c r="W6" s="45"/>
      <c r="X6" s="45"/>
      <c r="Y6" s="45"/>
      <c r="Z6" s="45"/>
    </row>
    <row r="7" spans="2:26" x14ac:dyDescent="0.25">
      <c r="B7" s="46"/>
      <c r="C7" s="45"/>
      <c r="D7" s="45"/>
      <c r="E7" s="45"/>
      <c r="F7" s="45"/>
      <c r="G7" s="45"/>
      <c r="H7" s="45"/>
      <c r="I7" s="45"/>
      <c r="J7" s="45"/>
      <c r="K7" s="45"/>
      <c r="L7" s="45"/>
      <c r="M7" s="45"/>
      <c r="N7" s="45"/>
      <c r="O7" s="45"/>
      <c r="P7" s="45"/>
      <c r="Q7" s="45"/>
      <c r="R7" s="45"/>
      <c r="S7" s="45"/>
      <c r="T7" s="45"/>
      <c r="U7" s="45"/>
      <c r="V7" s="45"/>
      <c r="W7" s="45"/>
      <c r="X7" s="45"/>
      <c r="Y7" s="45"/>
      <c r="Z7" s="45"/>
    </row>
    <row r="8" spans="2:26" x14ac:dyDescent="0.25">
      <c r="B8" s="54" t="s">
        <v>170</v>
      </c>
      <c r="C8" s="45"/>
      <c r="D8" s="45"/>
      <c r="E8" s="174">
        <f>Projekts!D4</f>
        <v>2022</v>
      </c>
      <c r="F8" s="174">
        <f>Projekts!E4</f>
        <v>2023</v>
      </c>
      <c r="G8" s="174">
        <f>Projekts!F4</f>
        <v>2024</v>
      </c>
      <c r="H8" s="174">
        <f>Projekts!G4</f>
        <v>2025</v>
      </c>
      <c r="I8" s="174">
        <f>Projekts!H4</f>
        <v>2026</v>
      </c>
      <c r="J8" s="174">
        <f>Projekts!I4</f>
        <v>2027</v>
      </c>
      <c r="K8" s="174">
        <f>Projekts!J4</f>
        <v>2028</v>
      </c>
      <c r="L8" s="174">
        <f>Projekts!K4</f>
        <v>2029</v>
      </c>
      <c r="M8" s="174">
        <f>Projekts!L4</f>
        <v>2030</v>
      </c>
      <c r="N8" s="174">
        <f>Projekts!M4</f>
        <v>2031</v>
      </c>
      <c r="O8" s="67"/>
      <c r="P8" s="45"/>
      <c r="Q8" s="45" t="s">
        <v>192</v>
      </c>
      <c r="R8" s="45"/>
      <c r="S8" s="45"/>
      <c r="T8" s="45"/>
      <c r="U8" s="45"/>
      <c r="V8" s="45"/>
      <c r="W8" s="45"/>
      <c r="X8" s="45"/>
      <c r="Y8" s="45"/>
      <c r="Z8" s="45"/>
    </row>
    <row r="9" spans="2:26" x14ac:dyDescent="0.25">
      <c r="B9" s="54" t="s">
        <v>169</v>
      </c>
      <c r="C9" s="45"/>
      <c r="D9" s="45"/>
      <c r="E9" s="175">
        <f>Projekts!D5</f>
        <v>1</v>
      </c>
      <c r="F9" s="175">
        <f>Projekts!E5</f>
        <v>2</v>
      </c>
      <c r="G9" s="175">
        <f>Projekts!F5</f>
        <v>3</v>
      </c>
      <c r="H9" s="175">
        <f>Projekts!G5</f>
        <v>4</v>
      </c>
      <c r="I9" s="175">
        <f>Projekts!H5</f>
        <v>5</v>
      </c>
      <c r="J9" s="175">
        <f>Projekts!I5</f>
        <v>6</v>
      </c>
      <c r="K9" s="175">
        <f>Projekts!J5</f>
        <v>7</v>
      </c>
      <c r="L9" s="175">
        <f>Projekts!K5</f>
        <v>8</v>
      </c>
      <c r="M9" s="175">
        <f>Projekts!L5</f>
        <v>9</v>
      </c>
      <c r="N9" s="175">
        <f>Projekts!M5</f>
        <v>10</v>
      </c>
      <c r="O9" s="61" t="s">
        <v>111</v>
      </c>
      <c r="P9" s="45"/>
      <c r="Q9" s="45">
        <f>COUNTA(E9:O9)</f>
        <v>11</v>
      </c>
      <c r="R9" s="45"/>
      <c r="S9" s="45"/>
      <c r="T9" s="45"/>
      <c r="U9" s="45"/>
      <c r="V9" s="45"/>
      <c r="W9" s="45"/>
      <c r="X9" s="45"/>
      <c r="Y9" s="45"/>
      <c r="Z9" s="45"/>
    </row>
    <row r="10" spans="2:26" x14ac:dyDescent="0.25">
      <c r="B10" s="54" t="s">
        <v>148</v>
      </c>
      <c r="C10" s="45"/>
      <c r="D10" s="45"/>
      <c r="E10" s="176">
        <f>Projekts!D9</f>
        <v>0.02</v>
      </c>
      <c r="F10" s="176">
        <f>Projekts!E9</f>
        <v>0.02</v>
      </c>
      <c r="G10" s="176">
        <f>Projekts!F9</f>
        <v>0.02</v>
      </c>
      <c r="H10" s="176">
        <f>Projekts!G9</f>
        <v>0.02</v>
      </c>
      <c r="I10" s="176">
        <f>Projekts!H9</f>
        <v>0.02</v>
      </c>
      <c r="J10" s="176">
        <f>Projekts!I9</f>
        <v>0.02</v>
      </c>
      <c r="K10" s="176">
        <f>Projekts!J9</f>
        <v>0.02</v>
      </c>
      <c r="L10" s="176">
        <f>Projekts!K9</f>
        <v>0.02</v>
      </c>
      <c r="M10" s="176">
        <f>Projekts!L9</f>
        <v>0.02</v>
      </c>
      <c r="N10" s="176">
        <f>Projekts!M9</f>
        <v>0.02</v>
      </c>
      <c r="O10" s="68">
        <f>Projekts!N9</f>
        <v>2.1000000000000001E-2</v>
      </c>
      <c r="P10" s="45"/>
      <c r="Q10" s="45"/>
      <c r="R10" s="45"/>
      <c r="S10" s="45"/>
      <c r="T10" s="45"/>
      <c r="U10" s="45"/>
      <c r="V10" s="45"/>
      <c r="W10" s="45"/>
      <c r="X10" s="45"/>
      <c r="Y10" s="45"/>
      <c r="Z10" s="45"/>
    </row>
    <row r="11" spans="2:26" x14ac:dyDescent="0.25">
      <c r="B11" s="40"/>
      <c r="C11" s="45"/>
      <c r="D11" s="45"/>
      <c r="E11" s="45"/>
      <c r="F11" s="45"/>
      <c r="G11" s="45"/>
      <c r="H11" s="45"/>
      <c r="I11" s="45"/>
      <c r="J11" s="45"/>
      <c r="K11" s="45"/>
      <c r="L11" s="45"/>
      <c r="M11" s="45"/>
      <c r="N11" s="45"/>
      <c r="O11" s="45"/>
      <c r="P11" s="45"/>
      <c r="Q11" s="45"/>
      <c r="R11" s="45"/>
      <c r="S11" s="45"/>
      <c r="T11" s="45"/>
      <c r="U11" s="45"/>
      <c r="V11" s="45"/>
      <c r="W11" s="45"/>
      <c r="X11" s="45"/>
      <c r="Y11" s="45"/>
      <c r="Z11" s="45"/>
    </row>
    <row r="12" spans="2:26" x14ac:dyDescent="0.25">
      <c r="B12" s="47" t="s">
        <v>149</v>
      </c>
      <c r="C12" s="45"/>
      <c r="D12" s="49" t="s">
        <v>161</v>
      </c>
      <c r="E12" s="45"/>
      <c r="F12" s="45"/>
      <c r="G12" s="45"/>
      <c r="H12" s="45"/>
      <c r="I12" s="45"/>
      <c r="J12" s="45"/>
      <c r="K12" s="45"/>
      <c r="L12" s="45"/>
      <c r="M12" s="45"/>
      <c r="N12" s="45"/>
      <c r="O12" s="45"/>
      <c r="P12" s="45"/>
      <c r="Q12" s="45"/>
      <c r="R12" s="45"/>
      <c r="S12" s="45"/>
      <c r="T12" s="45"/>
      <c r="U12" s="45"/>
      <c r="V12" s="45"/>
      <c r="W12" s="45"/>
      <c r="X12" s="45"/>
      <c r="Y12" s="45"/>
      <c r="Z12" s="45"/>
    </row>
    <row r="13" spans="2:26" x14ac:dyDescent="0.25">
      <c r="B13" s="62" t="s">
        <v>150</v>
      </c>
      <c r="C13" s="45"/>
      <c r="D13" s="49"/>
      <c r="E13" s="55">
        <f>SUM(E14:E17)</f>
        <v>0</v>
      </c>
      <c r="F13" s="55">
        <f t="shared" ref="F13:O13" si="0">SUM(F14:F17)</f>
        <v>0</v>
      </c>
      <c r="G13" s="55">
        <f t="shared" si="0"/>
        <v>0</v>
      </c>
      <c r="H13" s="55">
        <f t="shared" si="0"/>
        <v>0</v>
      </c>
      <c r="I13" s="55">
        <f t="shared" si="0"/>
        <v>0</v>
      </c>
      <c r="J13" s="55">
        <f t="shared" si="0"/>
        <v>0</v>
      </c>
      <c r="K13" s="55">
        <f t="shared" si="0"/>
        <v>0</v>
      </c>
      <c r="L13" s="55">
        <f t="shared" si="0"/>
        <v>0</v>
      </c>
      <c r="M13" s="55">
        <f t="shared" si="0"/>
        <v>0</v>
      </c>
      <c r="N13" s="55">
        <f t="shared" si="0"/>
        <v>0</v>
      </c>
      <c r="O13" s="55">
        <f t="shared" si="0"/>
        <v>0</v>
      </c>
      <c r="P13" s="50"/>
      <c r="Q13" s="55">
        <f>SUM(E13:O13)</f>
        <v>0</v>
      </c>
      <c r="R13" s="45"/>
      <c r="S13" s="45"/>
      <c r="T13" s="45"/>
      <c r="U13" s="45"/>
      <c r="V13" s="45"/>
      <c r="W13" s="45"/>
      <c r="X13" s="45"/>
      <c r="Y13" s="45"/>
      <c r="Z13" s="45"/>
    </row>
    <row r="14" spans="2:26" x14ac:dyDescent="0.25">
      <c r="B14" s="83" t="str">
        <f>Projekts!B22</f>
        <v>1. Būvniecības izmaksas:</v>
      </c>
      <c r="C14" s="45"/>
      <c r="D14" s="49" t="s">
        <v>162</v>
      </c>
      <c r="E14" s="72"/>
      <c r="F14" s="72"/>
      <c r="G14" s="72"/>
      <c r="H14" s="72"/>
      <c r="I14" s="72"/>
      <c r="J14" s="72"/>
      <c r="K14" s="72"/>
      <c r="L14" s="72"/>
      <c r="M14" s="72"/>
      <c r="N14" s="72"/>
      <c r="O14" s="72"/>
      <c r="P14" s="50"/>
      <c r="Q14" s="55">
        <f t="shared" ref="Q14:Q56" si="1">SUM(E14:O14)</f>
        <v>0</v>
      </c>
      <c r="R14" s="45"/>
      <c r="S14" s="45"/>
      <c r="T14" s="45"/>
      <c r="U14" s="45"/>
      <c r="V14" s="45"/>
      <c r="W14" s="45"/>
      <c r="X14" s="45"/>
      <c r="Y14" s="45"/>
      <c r="Z14" s="45"/>
    </row>
    <row r="15" spans="2:26" x14ac:dyDescent="0.25">
      <c r="B15" s="83" t="s">
        <v>179</v>
      </c>
      <c r="C15" s="45"/>
      <c r="D15" s="49" t="s">
        <v>162</v>
      </c>
      <c r="E15" s="72"/>
      <c r="F15" s="72"/>
      <c r="G15" s="72"/>
      <c r="H15" s="72"/>
      <c r="I15" s="72"/>
      <c r="J15" s="72"/>
      <c r="K15" s="72"/>
      <c r="L15" s="72"/>
      <c r="M15" s="72"/>
      <c r="N15" s="72"/>
      <c r="O15" s="72"/>
      <c r="P15" s="50"/>
      <c r="Q15" s="55">
        <f t="shared" si="1"/>
        <v>0</v>
      </c>
      <c r="R15" s="45"/>
      <c r="S15" s="45"/>
      <c r="T15" s="45"/>
      <c r="U15" s="45"/>
      <c r="V15" s="45"/>
      <c r="W15" s="45"/>
      <c r="X15" s="45"/>
      <c r="Y15" s="45"/>
      <c r="Z15" s="45"/>
    </row>
    <row r="16" spans="2:26" x14ac:dyDescent="0.25">
      <c r="B16" s="83" t="s">
        <v>180</v>
      </c>
      <c r="C16" s="45"/>
      <c r="D16" s="49" t="s">
        <v>162</v>
      </c>
      <c r="E16" s="72"/>
      <c r="F16" s="72"/>
      <c r="G16" s="72"/>
      <c r="H16" s="72"/>
      <c r="I16" s="72"/>
      <c r="J16" s="72"/>
      <c r="K16" s="72"/>
      <c r="L16" s="72"/>
      <c r="M16" s="72"/>
      <c r="N16" s="72"/>
      <c r="O16" s="72"/>
      <c r="P16" s="50"/>
      <c r="Q16" s="55">
        <f t="shared" si="1"/>
        <v>0</v>
      </c>
      <c r="R16" s="45"/>
      <c r="S16" s="45"/>
      <c r="T16" s="45"/>
      <c r="U16" s="45"/>
      <c r="V16" s="45"/>
      <c r="W16" s="45"/>
      <c r="X16" s="45"/>
      <c r="Y16" s="45"/>
      <c r="Z16" s="45"/>
    </row>
    <row r="17" spans="2:26" x14ac:dyDescent="0.25">
      <c r="B17" s="83" t="s">
        <v>111</v>
      </c>
      <c r="C17" s="45"/>
      <c r="D17" s="49" t="s">
        <v>162</v>
      </c>
      <c r="E17" s="72"/>
      <c r="F17" s="72"/>
      <c r="G17" s="72"/>
      <c r="H17" s="72"/>
      <c r="I17" s="72"/>
      <c r="J17" s="72"/>
      <c r="K17" s="72"/>
      <c r="L17" s="72"/>
      <c r="M17" s="72"/>
      <c r="N17" s="72"/>
      <c r="O17" s="72"/>
      <c r="P17" s="50"/>
      <c r="Q17" s="55">
        <f t="shared" si="1"/>
        <v>0</v>
      </c>
      <c r="R17" s="45"/>
      <c r="S17" s="45"/>
      <c r="T17" s="45"/>
      <c r="U17" s="45"/>
      <c r="V17" s="45"/>
      <c r="W17" s="45"/>
      <c r="X17" s="45"/>
      <c r="Y17" s="45"/>
      <c r="Z17" s="45"/>
    </row>
    <row r="18" spans="2:26" x14ac:dyDescent="0.25">
      <c r="B18" s="40"/>
      <c r="C18" s="45"/>
      <c r="D18" s="49"/>
      <c r="E18" s="50"/>
      <c r="F18" s="50"/>
      <c r="G18" s="50"/>
      <c r="H18" s="50"/>
      <c r="I18" s="50"/>
      <c r="J18" s="50"/>
      <c r="K18" s="50"/>
      <c r="L18" s="50"/>
      <c r="M18" s="50"/>
      <c r="N18" s="50"/>
      <c r="O18" s="50"/>
      <c r="P18" s="50"/>
      <c r="Q18" s="50"/>
      <c r="R18" s="45"/>
      <c r="S18" s="45"/>
      <c r="T18" s="45"/>
      <c r="U18" s="45"/>
      <c r="V18" s="45"/>
      <c r="W18" s="45"/>
      <c r="X18" s="45"/>
      <c r="Y18" s="45"/>
      <c r="Z18" s="45"/>
    </row>
    <row r="19" spans="2:26" x14ac:dyDescent="0.25">
      <c r="B19" s="62" t="s">
        <v>151</v>
      </c>
      <c r="C19" s="45"/>
      <c r="D19" s="49"/>
      <c r="E19" s="55">
        <f>E20+E25</f>
        <v>0</v>
      </c>
      <c r="F19" s="55">
        <f t="shared" ref="F19:O19" si="2">F20+F25</f>
        <v>0</v>
      </c>
      <c r="G19" s="55">
        <f t="shared" si="2"/>
        <v>0</v>
      </c>
      <c r="H19" s="55">
        <f t="shared" si="2"/>
        <v>0</v>
      </c>
      <c r="I19" s="55">
        <f t="shared" si="2"/>
        <v>0</v>
      </c>
      <c r="J19" s="55">
        <f t="shared" si="2"/>
        <v>0</v>
      </c>
      <c r="K19" s="55">
        <f t="shared" si="2"/>
        <v>0</v>
      </c>
      <c r="L19" s="55">
        <f t="shared" si="2"/>
        <v>0</v>
      </c>
      <c r="M19" s="55">
        <f t="shared" si="2"/>
        <v>0</v>
      </c>
      <c r="N19" s="55">
        <f t="shared" si="2"/>
        <v>0</v>
      </c>
      <c r="O19" s="55">
        <f t="shared" si="2"/>
        <v>0</v>
      </c>
      <c r="P19" s="50"/>
      <c r="Q19" s="55">
        <f t="shared" si="1"/>
        <v>0</v>
      </c>
      <c r="R19" s="45"/>
      <c r="S19" s="45"/>
      <c r="T19" s="45"/>
      <c r="U19" s="45"/>
      <c r="V19" s="45"/>
      <c r="W19" s="45"/>
      <c r="X19" s="45"/>
      <c r="Y19" s="45"/>
      <c r="Z19" s="45"/>
    </row>
    <row r="20" spans="2:26" x14ac:dyDescent="0.25">
      <c r="B20" s="84" t="s">
        <v>152</v>
      </c>
      <c r="C20" s="45"/>
      <c r="D20" s="49"/>
      <c r="E20" s="55">
        <f>SUM(E21:E24)</f>
        <v>0</v>
      </c>
      <c r="F20" s="55">
        <f t="shared" ref="F20:O20" si="3">SUM(F21:F24)</f>
        <v>0</v>
      </c>
      <c r="G20" s="55">
        <f t="shared" si="3"/>
        <v>0</v>
      </c>
      <c r="H20" s="55">
        <f t="shared" si="3"/>
        <v>0</v>
      </c>
      <c r="I20" s="55">
        <f t="shared" si="3"/>
        <v>0</v>
      </c>
      <c r="J20" s="55">
        <f t="shared" si="3"/>
        <v>0</v>
      </c>
      <c r="K20" s="55">
        <f t="shared" si="3"/>
        <v>0</v>
      </c>
      <c r="L20" s="55">
        <f t="shared" si="3"/>
        <v>0</v>
      </c>
      <c r="M20" s="55">
        <f t="shared" si="3"/>
        <v>0</v>
      </c>
      <c r="N20" s="55">
        <f t="shared" si="3"/>
        <v>0</v>
      </c>
      <c r="O20" s="55">
        <f t="shared" si="3"/>
        <v>0</v>
      </c>
      <c r="P20" s="50"/>
      <c r="Q20" s="55">
        <f t="shared" si="1"/>
        <v>0</v>
      </c>
      <c r="R20" s="45"/>
      <c r="S20" s="45"/>
      <c r="T20" s="45"/>
      <c r="U20" s="45"/>
      <c r="V20" s="45"/>
      <c r="W20" s="45"/>
      <c r="X20" s="45"/>
      <c r="Y20" s="45"/>
      <c r="Z20" s="45"/>
    </row>
    <row r="21" spans="2:26" x14ac:dyDescent="0.25">
      <c r="B21" s="83" t="s">
        <v>181</v>
      </c>
      <c r="C21" s="45"/>
      <c r="D21" s="49" t="s">
        <v>162</v>
      </c>
      <c r="E21" s="72"/>
      <c r="F21" s="72"/>
      <c r="G21" s="72"/>
      <c r="H21" s="72"/>
      <c r="I21" s="72"/>
      <c r="J21" s="72"/>
      <c r="K21" s="72"/>
      <c r="L21" s="72"/>
      <c r="M21" s="72"/>
      <c r="N21" s="72"/>
      <c r="O21" s="72"/>
      <c r="P21" s="50"/>
      <c r="Q21" s="55">
        <f t="shared" si="1"/>
        <v>0</v>
      </c>
      <c r="R21" s="45"/>
      <c r="S21" s="45"/>
      <c r="T21" s="45"/>
      <c r="U21" s="45"/>
      <c r="V21" s="45"/>
      <c r="W21" s="45"/>
      <c r="X21" s="45"/>
      <c r="Y21" s="45"/>
      <c r="Z21" s="45"/>
    </row>
    <row r="22" spans="2:26" x14ac:dyDescent="0.25">
      <c r="B22" s="83" t="s">
        <v>182</v>
      </c>
      <c r="C22" s="45"/>
      <c r="D22" s="49" t="s">
        <v>162</v>
      </c>
      <c r="E22" s="72"/>
      <c r="F22" s="72"/>
      <c r="G22" s="72"/>
      <c r="H22" s="72"/>
      <c r="I22" s="72"/>
      <c r="J22" s="72"/>
      <c r="K22" s="72"/>
      <c r="L22" s="72"/>
      <c r="M22" s="72"/>
      <c r="N22" s="72"/>
      <c r="O22" s="72"/>
      <c r="P22" s="50"/>
      <c r="Q22" s="55">
        <f t="shared" si="1"/>
        <v>0</v>
      </c>
      <c r="R22" s="45"/>
      <c r="S22" s="45"/>
      <c r="T22" s="45"/>
      <c r="U22" s="45"/>
      <c r="V22" s="45"/>
      <c r="W22" s="45"/>
      <c r="X22" s="45"/>
      <c r="Y22" s="45"/>
      <c r="Z22" s="45"/>
    </row>
    <row r="23" spans="2:26" x14ac:dyDescent="0.25">
      <c r="B23" s="83" t="s">
        <v>183</v>
      </c>
      <c r="C23" s="45"/>
      <c r="D23" s="49" t="s">
        <v>162</v>
      </c>
      <c r="E23" s="72"/>
      <c r="F23" s="72"/>
      <c r="G23" s="72"/>
      <c r="H23" s="72"/>
      <c r="I23" s="72"/>
      <c r="J23" s="72"/>
      <c r="K23" s="72"/>
      <c r="L23" s="72"/>
      <c r="M23" s="72"/>
      <c r="N23" s="72"/>
      <c r="O23" s="72"/>
      <c r="P23" s="50"/>
      <c r="Q23" s="55">
        <f t="shared" si="1"/>
        <v>0</v>
      </c>
      <c r="R23" s="45"/>
      <c r="S23" s="45"/>
      <c r="T23" s="45"/>
      <c r="U23" s="45"/>
      <c r="V23" s="45"/>
      <c r="W23" s="45"/>
      <c r="X23" s="45"/>
      <c r="Y23" s="45"/>
      <c r="Z23" s="45"/>
    </row>
    <row r="24" spans="2:26" x14ac:dyDescent="0.25">
      <c r="B24" s="83" t="s">
        <v>111</v>
      </c>
      <c r="C24" s="45"/>
      <c r="D24" s="49" t="s">
        <v>162</v>
      </c>
      <c r="E24" s="72"/>
      <c r="F24" s="72"/>
      <c r="G24" s="72"/>
      <c r="H24" s="72"/>
      <c r="I24" s="72"/>
      <c r="J24" s="72"/>
      <c r="K24" s="72"/>
      <c r="L24" s="72"/>
      <c r="M24" s="72"/>
      <c r="N24" s="72"/>
      <c r="O24" s="72"/>
      <c r="P24" s="50"/>
      <c r="Q24" s="55">
        <f t="shared" si="1"/>
        <v>0</v>
      </c>
      <c r="R24" s="45"/>
      <c r="S24" s="45"/>
      <c r="T24" s="45"/>
      <c r="U24" s="45"/>
      <c r="V24" s="45"/>
      <c r="W24" s="45"/>
      <c r="X24" s="45"/>
      <c r="Y24" s="45"/>
      <c r="Z24" s="45"/>
    </row>
    <row r="25" spans="2:26" x14ac:dyDescent="0.25">
      <c r="B25" s="84" t="s">
        <v>153</v>
      </c>
      <c r="C25" s="45"/>
      <c r="D25" s="49"/>
      <c r="E25" s="55">
        <f>SUM(E26:E29)</f>
        <v>0</v>
      </c>
      <c r="F25" s="55">
        <f t="shared" ref="F25:O25" si="4">SUM(F26:F29)</f>
        <v>0</v>
      </c>
      <c r="G25" s="55">
        <f t="shared" si="4"/>
        <v>0</v>
      </c>
      <c r="H25" s="55">
        <f t="shared" si="4"/>
        <v>0</v>
      </c>
      <c r="I25" s="55">
        <f t="shared" si="4"/>
        <v>0</v>
      </c>
      <c r="J25" s="55">
        <f t="shared" si="4"/>
        <v>0</v>
      </c>
      <c r="K25" s="55">
        <f t="shared" si="4"/>
        <v>0</v>
      </c>
      <c r="L25" s="55">
        <f t="shared" si="4"/>
        <v>0</v>
      </c>
      <c r="M25" s="55">
        <f t="shared" si="4"/>
        <v>0</v>
      </c>
      <c r="N25" s="55">
        <f t="shared" si="4"/>
        <v>0</v>
      </c>
      <c r="O25" s="55">
        <f t="shared" si="4"/>
        <v>0</v>
      </c>
      <c r="P25" s="50"/>
      <c r="Q25" s="55">
        <f t="shared" si="1"/>
        <v>0</v>
      </c>
      <c r="R25" s="45"/>
      <c r="S25" s="45"/>
      <c r="T25" s="45"/>
      <c r="U25" s="45"/>
      <c r="V25" s="45"/>
      <c r="W25" s="45"/>
      <c r="X25" s="45"/>
      <c r="Y25" s="45"/>
      <c r="Z25" s="45"/>
    </row>
    <row r="26" spans="2:26" x14ac:dyDescent="0.25">
      <c r="B26" s="83" t="s">
        <v>184</v>
      </c>
      <c r="C26" s="45"/>
      <c r="D26" s="49" t="s">
        <v>162</v>
      </c>
      <c r="E26" s="72"/>
      <c r="F26" s="72"/>
      <c r="G26" s="72"/>
      <c r="H26" s="72"/>
      <c r="I26" s="72"/>
      <c r="J26" s="72"/>
      <c r="K26" s="72"/>
      <c r="L26" s="72"/>
      <c r="M26" s="72"/>
      <c r="N26" s="72"/>
      <c r="O26" s="72"/>
      <c r="P26" s="50"/>
      <c r="Q26" s="55">
        <f t="shared" si="1"/>
        <v>0</v>
      </c>
      <c r="R26" s="45"/>
      <c r="S26" s="45"/>
      <c r="T26" s="45"/>
      <c r="U26" s="45"/>
      <c r="V26" s="45"/>
      <c r="W26" s="45"/>
      <c r="X26" s="45"/>
      <c r="Y26" s="45"/>
      <c r="Z26" s="45"/>
    </row>
    <row r="27" spans="2:26" x14ac:dyDescent="0.25">
      <c r="B27" s="83" t="s">
        <v>185</v>
      </c>
      <c r="C27" s="45"/>
      <c r="D27" s="49" t="s">
        <v>162</v>
      </c>
      <c r="E27" s="72"/>
      <c r="F27" s="72"/>
      <c r="G27" s="72"/>
      <c r="H27" s="72"/>
      <c r="I27" s="72"/>
      <c r="J27" s="72"/>
      <c r="K27" s="72"/>
      <c r="L27" s="72"/>
      <c r="M27" s="72"/>
      <c r="N27" s="72"/>
      <c r="O27" s="72"/>
      <c r="P27" s="50"/>
      <c r="Q27" s="55">
        <f t="shared" si="1"/>
        <v>0</v>
      </c>
      <c r="R27" s="45"/>
      <c r="S27" s="45"/>
      <c r="T27" s="45"/>
      <c r="U27" s="45"/>
      <c r="V27" s="45"/>
      <c r="W27" s="45"/>
      <c r="X27" s="45"/>
      <c r="Y27" s="45"/>
      <c r="Z27" s="45"/>
    </row>
    <row r="28" spans="2:26" x14ac:dyDescent="0.25">
      <c r="B28" s="83" t="s">
        <v>186</v>
      </c>
      <c r="C28" s="45"/>
      <c r="D28" s="49" t="s">
        <v>162</v>
      </c>
      <c r="E28" s="72"/>
      <c r="F28" s="72"/>
      <c r="G28" s="72"/>
      <c r="H28" s="72"/>
      <c r="I28" s="72"/>
      <c r="J28" s="72"/>
      <c r="K28" s="72"/>
      <c r="L28" s="72"/>
      <c r="M28" s="72"/>
      <c r="N28" s="72"/>
      <c r="O28" s="72"/>
      <c r="P28" s="50"/>
      <c r="Q28" s="55">
        <f t="shared" si="1"/>
        <v>0</v>
      </c>
      <c r="R28" s="45"/>
      <c r="S28" s="45"/>
      <c r="T28" s="45"/>
      <c r="U28" s="45"/>
      <c r="V28" s="45"/>
      <c r="W28" s="45"/>
      <c r="X28" s="45"/>
      <c r="Y28" s="45"/>
      <c r="Z28" s="45"/>
    </row>
    <row r="29" spans="2:26" x14ac:dyDescent="0.25">
      <c r="B29" s="83" t="s">
        <v>111</v>
      </c>
      <c r="C29" s="45"/>
      <c r="D29" s="49" t="s">
        <v>162</v>
      </c>
      <c r="E29" s="72"/>
      <c r="F29" s="72"/>
      <c r="G29" s="72"/>
      <c r="H29" s="72"/>
      <c r="I29" s="72"/>
      <c r="J29" s="72"/>
      <c r="K29" s="72"/>
      <c r="L29" s="72"/>
      <c r="M29" s="72"/>
      <c r="N29" s="72"/>
      <c r="O29" s="72"/>
      <c r="P29" s="50"/>
      <c r="Q29" s="55">
        <f t="shared" si="1"/>
        <v>0</v>
      </c>
      <c r="R29" s="45"/>
      <c r="S29" s="45"/>
      <c r="T29" s="45"/>
      <c r="U29" s="45"/>
      <c r="V29" s="45"/>
      <c r="W29" s="45"/>
      <c r="X29" s="45"/>
      <c r="Y29" s="45"/>
      <c r="Z29" s="45"/>
    </row>
    <row r="30" spans="2:26" x14ac:dyDescent="0.25">
      <c r="B30" s="53"/>
      <c r="C30" s="45"/>
      <c r="D30" s="49"/>
      <c r="E30" s="50"/>
      <c r="F30" s="50"/>
      <c r="G30" s="50"/>
      <c r="H30" s="50"/>
      <c r="I30" s="50"/>
      <c r="J30" s="50"/>
      <c r="K30" s="50"/>
      <c r="L30" s="50"/>
      <c r="M30" s="50"/>
      <c r="N30" s="50"/>
      <c r="O30" s="50"/>
      <c r="P30" s="50"/>
      <c r="Q30" s="50"/>
      <c r="R30" s="45"/>
      <c r="S30" s="45"/>
      <c r="T30" s="45"/>
      <c r="U30" s="45"/>
      <c r="V30" s="45"/>
      <c r="W30" s="45"/>
      <c r="X30" s="45"/>
      <c r="Y30" s="45"/>
      <c r="Z30" s="45"/>
    </row>
    <row r="31" spans="2:26" x14ac:dyDescent="0.25">
      <c r="B31" s="62" t="s">
        <v>154</v>
      </c>
      <c r="C31" s="45"/>
      <c r="D31" s="49"/>
      <c r="E31" s="55">
        <f>SUM(E32:E35)</f>
        <v>0</v>
      </c>
      <c r="F31" s="55">
        <f t="shared" ref="F31:O31" si="5">SUM(F32:F35)</f>
        <v>0</v>
      </c>
      <c r="G31" s="55">
        <f t="shared" si="5"/>
        <v>0</v>
      </c>
      <c r="H31" s="55">
        <f t="shared" si="5"/>
        <v>0</v>
      </c>
      <c r="I31" s="55">
        <f t="shared" si="5"/>
        <v>0</v>
      </c>
      <c r="J31" s="55">
        <f t="shared" si="5"/>
        <v>0</v>
      </c>
      <c r="K31" s="55">
        <f t="shared" si="5"/>
        <v>0</v>
      </c>
      <c r="L31" s="55">
        <f t="shared" si="5"/>
        <v>0</v>
      </c>
      <c r="M31" s="55">
        <f t="shared" si="5"/>
        <v>0</v>
      </c>
      <c r="N31" s="55">
        <f t="shared" si="5"/>
        <v>0</v>
      </c>
      <c r="O31" s="55">
        <f t="shared" si="5"/>
        <v>0</v>
      </c>
      <c r="P31" s="50"/>
      <c r="Q31" s="55">
        <f t="shared" si="1"/>
        <v>0</v>
      </c>
      <c r="R31" s="45"/>
      <c r="S31" s="45"/>
      <c r="T31" s="45"/>
      <c r="U31" s="45"/>
      <c r="V31" s="45"/>
      <c r="W31" s="45"/>
      <c r="X31" s="45"/>
      <c r="Y31" s="45"/>
      <c r="Z31" s="45"/>
    </row>
    <row r="32" spans="2:26" x14ac:dyDescent="0.25">
      <c r="B32" s="83" t="s">
        <v>155</v>
      </c>
      <c r="C32" s="45"/>
      <c r="D32" s="49" t="s">
        <v>163</v>
      </c>
      <c r="E32" s="72"/>
      <c r="F32" s="72"/>
      <c r="G32" s="72"/>
      <c r="H32" s="72"/>
      <c r="I32" s="72"/>
      <c r="J32" s="72"/>
      <c r="K32" s="72"/>
      <c r="L32" s="72"/>
      <c r="M32" s="72"/>
      <c r="N32" s="72"/>
      <c r="O32" s="72"/>
      <c r="P32" s="50"/>
      <c r="Q32" s="55">
        <f t="shared" si="1"/>
        <v>0</v>
      </c>
      <c r="R32" s="45"/>
      <c r="S32" s="45"/>
      <c r="T32" s="45"/>
      <c r="U32" s="45"/>
      <c r="V32" s="45"/>
      <c r="W32" s="45"/>
      <c r="X32" s="45"/>
      <c r="Y32" s="45"/>
      <c r="Z32" s="45"/>
    </row>
    <row r="33" spans="2:26" x14ac:dyDescent="0.25">
      <c r="B33" s="83" t="s">
        <v>156</v>
      </c>
      <c r="C33" s="45"/>
      <c r="D33" s="49" t="s">
        <v>163</v>
      </c>
      <c r="E33" s="72"/>
      <c r="F33" s="72"/>
      <c r="G33" s="72"/>
      <c r="H33" s="72"/>
      <c r="I33" s="72"/>
      <c r="J33" s="72"/>
      <c r="K33" s="72"/>
      <c r="L33" s="72"/>
      <c r="M33" s="72"/>
      <c r="N33" s="72"/>
      <c r="O33" s="72"/>
      <c r="P33" s="50"/>
      <c r="Q33" s="55">
        <f t="shared" si="1"/>
        <v>0</v>
      </c>
      <c r="R33" s="45"/>
      <c r="S33" s="45"/>
      <c r="T33" s="45"/>
      <c r="U33" s="45"/>
      <c r="V33" s="45"/>
      <c r="W33" s="45"/>
      <c r="X33" s="45"/>
      <c r="Y33" s="45"/>
      <c r="Z33" s="45"/>
    </row>
    <row r="34" spans="2:26" x14ac:dyDescent="0.25">
      <c r="B34" s="83" t="s">
        <v>157</v>
      </c>
      <c r="C34" s="45"/>
      <c r="D34" s="49" t="s">
        <v>163</v>
      </c>
      <c r="E34" s="72"/>
      <c r="F34" s="72"/>
      <c r="G34" s="72"/>
      <c r="H34" s="72"/>
      <c r="I34" s="72"/>
      <c r="J34" s="72"/>
      <c r="K34" s="72"/>
      <c r="L34" s="72"/>
      <c r="M34" s="72"/>
      <c r="N34" s="72"/>
      <c r="O34" s="72"/>
      <c r="P34" s="50"/>
      <c r="Q34" s="55">
        <f t="shared" si="1"/>
        <v>0</v>
      </c>
      <c r="R34" s="45"/>
      <c r="S34" s="45"/>
      <c r="T34" s="45"/>
      <c r="U34" s="45"/>
      <c r="V34" s="45"/>
      <c r="W34" s="45"/>
      <c r="X34" s="45"/>
      <c r="Y34" s="45"/>
      <c r="Z34" s="45"/>
    </row>
    <row r="35" spans="2:26" x14ac:dyDescent="0.25">
      <c r="B35" s="83" t="s">
        <v>111</v>
      </c>
      <c r="C35" s="45"/>
      <c r="D35" s="49" t="s">
        <v>163</v>
      </c>
      <c r="E35" s="72"/>
      <c r="F35" s="72"/>
      <c r="G35" s="72"/>
      <c r="H35" s="72"/>
      <c r="I35" s="72"/>
      <c r="J35" s="72"/>
      <c r="K35" s="72"/>
      <c r="L35" s="72"/>
      <c r="M35" s="72"/>
      <c r="N35" s="72"/>
      <c r="O35" s="72"/>
      <c r="P35" s="50"/>
      <c r="Q35" s="55">
        <f t="shared" si="1"/>
        <v>0</v>
      </c>
      <c r="R35" s="45"/>
      <c r="S35" s="45"/>
      <c r="T35" s="45"/>
      <c r="U35" s="45"/>
      <c r="V35" s="45"/>
      <c r="W35" s="45"/>
      <c r="X35" s="45"/>
      <c r="Y35" s="45"/>
      <c r="Z35" s="45"/>
    </row>
    <row r="36" spans="2:26" x14ac:dyDescent="0.25">
      <c r="B36" s="40"/>
      <c r="C36" s="45"/>
      <c r="D36" s="45"/>
      <c r="E36" s="50"/>
      <c r="F36" s="50"/>
      <c r="G36" s="50"/>
      <c r="H36" s="50"/>
      <c r="I36" s="50"/>
      <c r="J36" s="50"/>
      <c r="K36" s="50"/>
      <c r="L36" s="50"/>
      <c r="M36" s="50"/>
      <c r="N36" s="50"/>
      <c r="O36" s="50"/>
      <c r="P36" s="50"/>
      <c r="Q36" s="50"/>
      <c r="R36" s="45"/>
      <c r="S36" s="45"/>
      <c r="T36" s="45"/>
      <c r="U36" s="45"/>
      <c r="V36" s="45"/>
      <c r="W36" s="45"/>
      <c r="X36" s="45"/>
      <c r="Y36" s="45"/>
      <c r="Z36" s="45"/>
    </row>
    <row r="37" spans="2:26" x14ac:dyDescent="0.25">
      <c r="B37" s="62" t="s">
        <v>149</v>
      </c>
      <c r="C37" s="45"/>
      <c r="D37" s="45"/>
      <c r="E37" s="55">
        <f>E13+E19+E31</f>
        <v>0</v>
      </c>
      <c r="F37" s="55">
        <f t="shared" ref="F37:O37" si="6">F13+F19+F31</f>
        <v>0</v>
      </c>
      <c r="G37" s="55">
        <f t="shared" si="6"/>
        <v>0</v>
      </c>
      <c r="H37" s="55">
        <f t="shared" si="6"/>
        <v>0</v>
      </c>
      <c r="I37" s="55">
        <f t="shared" si="6"/>
        <v>0</v>
      </c>
      <c r="J37" s="55">
        <f t="shared" si="6"/>
        <v>0</v>
      </c>
      <c r="K37" s="55">
        <f t="shared" si="6"/>
        <v>0</v>
      </c>
      <c r="L37" s="55">
        <f t="shared" si="6"/>
        <v>0</v>
      </c>
      <c r="M37" s="55">
        <f t="shared" si="6"/>
        <v>0</v>
      </c>
      <c r="N37" s="55">
        <f t="shared" si="6"/>
        <v>0</v>
      </c>
      <c r="O37" s="55">
        <f t="shared" si="6"/>
        <v>0</v>
      </c>
      <c r="P37" s="50"/>
      <c r="Q37" s="55">
        <f t="shared" si="1"/>
        <v>0</v>
      </c>
      <c r="R37" s="45"/>
      <c r="S37" s="45"/>
      <c r="T37" s="45"/>
      <c r="U37" s="45"/>
      <c r="V37" s="45"/>
      <c r="W37" s="45"/>
      <c r="X37" s="45"/>
      <c r="Y37" s="45"/>
      <c r="Z37" s="45"/>
    </row>
    <row r="38" spans="2:26" x14ac:dyDescent="0.25">
      <c r="B38" s="40"/>
      <c r="C38" s="45"/>
      <c r="D38" s="45"/>
      <c r="E38" s="45"/>
      <c r="F38" s="45"/>
      <c r="G38" s="45"/>
      <c r="H38" s="45"/>
      <c r="I38" s="45"/>
      <c r="J38" s="45"/>
      <c r="K38" s="45"/>
      <c r="L38" s="45"/>
      <c r="M38" s="45"/>
      <c r="N38" s="45"/>
      <c r="O38" s="45"/>
      <c r="P38" s="45"/>
      <c r="Q38" s="50"/>
      <c r="R38" s="45"/>
      <c r="S38" s="45"/>
      <c r="T38" s="45"/>
      <c r="U38" s="45"/>
      <c r="V38" s="45"/>
      <c r="W38" s="45"/>
      <c r="X38" s="45"/>
      <c r="Y38" s="45"/>
      <c r="Z38" s="45"/>
    </row>
    <row r="39" spans="2:26" x14ac:dyDescent="0.25">
      <c r="B39" s="52" t="s">
        <v>158</v>
      </c>
      <c r="C39" s="45"/>
      <c r="D39" s="45"/>
      <c r="E39" s="61" t="s">
        <v>171</v>
      </c>
      <c r="F39" s="45"/>
      <c r="G39" s="45"/>
      <c r="H39" s="45"/>
      <c r="I39" s="45"/>
      <c r="J39" s="45"/>
      <c r="K39" s="45"/>
      <c r="L39" s="45"/>
      <c r="M39" s="45"/>
      <c r="N39" s="45"/>
      <c r="O39" s="45"/>
      <c r="P39" s="45"/>
      <c r="Q39" s="50"/>
      <c r="R39" s="45"/>
      <c r="S39" s="45"/>
      <c r="T39" s="45"/>
      <c r="U39" s="45"/>
      <c r="V39" s="45"/>
      <c r="W39" s="45"/>
      <c r="X39" s="45"/>
      <c r="Y39" s="45"/>
      <c r="Z39" s="45"/>
    </row>
    <row r="40" spans="2:26" x14ac:dyDescent="0.25">
      <c r="B40" s="40"/>
      <c r="C40" s="45"/>
      <c r="D40" s="45"/>
      <c r="E40" s="45"/>
      <c r="F40" s="45"/>
      <c r="G40" s="45"/>
      <c r="H40" s="45"/>
      <c r="I40" s="45"/>
      <c r="J40" s="45"/>
      <c r="K40" s="45"/>
      <c r="L40" s="45"/>
      <c r="M40" s="45"/>
      <c r="N40" s="45"/>
      <c r="O40" s="45"/>
      <c r="P40" s="45"/>
      <c r="Q40" s="50"/>
      <c r="R40" s="45"/>
      <c r="S40" s="45"/>
      <c r="T40" s="45"/>
      <c r="U40" s="45"/>
      <c r="V40" s="45"/>
      <c r="W40" s="45"/>
      <c r="X40" s="45"/>
      <c r="Y40" s="45"/>
      <c r="Z40" s="45"/>
    </row>
    <row r="41" spans="2:26" x14ac:dyDescent="0.25">
      <c r="B41" s="56" t="s">
        <v>159</v>
      </c>
      <c r="C41" s="57"/>
      <c r="D41" s="57"/>
      <c r="E41" s="81">
        <f>IFERROR(1/((1+$E$6+E10)^E9),"-")</f>
        <v>0.94339622641509424</v>
      </c>
      <c r="F41" s="81">
        <f t="shared" ref="F41:O41" si="7">IFERROR(1/((1+$E$6+F10)^F9),"-")</f>
        <v>0.88999644001423983</v>
      </c>
      <c r="G41" s="81">
        <f t="shared" si="7"/>
        <v>0.8396192830323016</v>
      </c>
      <c r="H41" s="81">
        <f t="shared" si="7"/>
        <v>0.79209366323802044</v>
      </c>
      <c r="I41" s="81">
        <f t="shared" si="7"/>
        <v>0.74725817286605689</v>
      </c>
      <c r="J41" s="81">
        <f t="shared" si="7"/>
        <v>0.70496054043967626</v>
      </c>
      <c r="K41" s="81">
        <f t="shared" si="7"/>
        <v>0.66505711362233599</v>
      </c>
      <c r="L41" s="81">
        <f t="shared" si="7"/>
        <v>0.62741237134182648</v>
      </c>
      <c r="M41" s="81">
        <f t="shared" si="7"/>
        <v>0.59189846353002495</v>
      </c>
      <c r="N41" s="81">
        <f t="shared" si="7"/>
        <v>0.55839477691511785</v>
      </c>
      <c r="O41" s="81" t="str">
        <f t="shared" si="7"/>
        <v>-</v>
      </c>
      <c r="P41" s="45"/>
      <c r="Q41" s="85"/>
      <c r="R41" s="45"/>
      <c r="S41" s="45"/>
      <c r="T41" s="45"/>
      <c r="U41" s="45"/>
      <c r="V41" s="45"/>
      <c r="W41" s="45"/>
      <c r="X41" s="45"/>
      <c r="Y41" s="45"/>
      <c r="Z41" s="45"/>
    </row>
    <row r="42" spans="2:26" x14ac:dyDescent="0.25">
      <c r="B42" s="56" t="s">
        <v>160</v>
      </c>
      <c r="C42" s="57"/>
      <c r="D42" s="57"/>
      <c r="E42" s="82">
        <f>IFERROR(E37*E41,"-")</f>
        <v>0</v>
      </c>
      <c r="F42" s="82">
        <f t="shared" ref="F42:O42" si="8">IFERROR(F37*F41,"-")</f>
        <v>0</v>
      </c>
      <c r="G42" s="82">
        <f t="shared" si="8"/>
        <v>0</v>
      </c>
      <c r="H42" s="82">
        <f t="shared" si="8"/>
        <v>0</v>
      </c>
      <c r="I42" s="82">
        <f t="shared" si="8"/>
        <v>0</v>
      </c>
      <c r="J42" s="82">
        <f t="shared" si="8"/>
        <v>0</v>
      </c>
      <c r="K42" s="82">
        <f t="shared" si="8"/>
        <v>0</v>
      </c>
      <c r="L42" s="82">
        <f t="shared" si="8"/>
        <v>0</v>
      </c>
      <c r="M42" s="82">
        <f t="shared" si="8"/>
        <v>0</v>
      </c>
      <c r="N42" s="82">
        <f t="shared" si="8"/>
        <v>0</v>
      </c>
      <c r="O42" s="82" t="str">
        <f t="shared" si="8"/>
        <v>-</v>
      </c>
      <c r="P42" s="50"/>
      <c r="Q42" s="55">
        <f t="shared" si="1"/>
        <v>0</v>
      </c>
      <c r="R42" s="45"/>
      <c r="S42" s="45"/>
      <c r="T42" s="45"/>
      <c r="U42" s="45"/>
      <c r="V42" s="45"/>
      <c r="W42" s="45"/>
      <c r="X42" s="45"/>
      <c r="Y42" s="45"/>
      <c r="Z42" s="45"/>
    </row>
    <row r="43" spans="2:26" x14ac:dyDescent="0.25">
      <c r="B43" s="40"/>
      <c r="C43" s="45"/>
      <c r="D43" s="45"/>
      <c r="E43" s="50"/>
      <c r="F43" s="50"/>
      <c r="G43" s="50"/>
      <c r="H43" s="50"/>
      <c r="I43" s="50"/>
      <c r="J43" s="50"/>
      <c r="K43" s="50"/>
      <c r="L43" s="50"/>
      <c r="M43" s="50"/>
      <c r="N43" s="50"/>
      <c r="O43" s="50"/>
      <c r="P43" s="50"/>
      <c r="Q43" s="50"/>
      <c r="R43" s="45"/>
      <c r="S43" s="45"/>
      <c r="T43" s="45"/>
      <c r="U43" s="45"/>
      <c r="V43" s="45"/>
      <c r="W43" s="45"/>
      <c r="X43" s="45"/>
      <c r="Y43" s="45"/>
      <c r="Z43" s="45"/>
    </row>
    <row r="44" spans="2:26" x14ac:dyDescent="0.25">
      <c r="B44" s="52" t="s">
        <v>164</v>
      </c>
      <c r="C44" s="45"/>
      <c r="D44" s="45"/>
      <c r="E44" s="60">
        <f>SUM(E42:O42)</f>
        <v>0</v>
      </c>
      <c r="F44" s="170" t="s">
        <v>217</v>
      </c>
      <c r="G44" s="50"/>
      <c r="H44" s="50"/>
      <c r="I44" s="50"/>
      <c r="J44" s="50"/>
      <c r="K44" s="50"/>
      <c r="L44" s="50"/>
      <c r="M44" s="50"/>
      <c r="N44" s="50"/>
      <c r="O44" s="50"/>
      <c r="P44" s="50"/>
      <c r="Q44" s="50"/>
      <c r="R44" s="45"/>
      <c r="S44" s="45"/>
      <c r="T44" s="45"/>
      <c r="U44" s="45"/>
      <c r="V44" s="45"/>
      <c r="W44" s="45"/>
      <c r="X44" s="45"/>
      <c r="Y44" s="45"/>
      <c r="Z44" s="45"/>
    </row>
    <row r="45" spans="2:26" x14ac:dyDescent="0.25">
      <c r="B45" s="40"/>
      <c r="C45" s="45"/>
      <c r="D45" s="45"/>
      <c r="E45" s="50"/>
      <c r="F45" s="50"/>
      <c r="G45" s="50"/>
      <c r="H45" s="50"/>
      <c r="I45" s="50"/>
      <c r="J45" s="50"/>
      <c r="K45" s="50"/>
      <c r="L45" s="50"/>
      <c r="M45" s="50"/>
      <c r="N45" s="50"/>
      <c r="O45" s="50"/>
      <c r="P45" s="50"/>
      <c r="Q45" s="50"/>
      <c r="R45" s="45"/>
      <c r="S45" s="45"/>
      <c r="T45" s="45"/>
      <c r="U45" s="45"/>
      <c r="V45" s="45"/>
      <c r="W45" s="45"/>
      <c r="X45" s="45"/>
      <c r="Y45" s="45"/>
      <c r="Z45" s="45"/>
    </row>
    <row r="46" spans="2:26" x14ac:dyDescent="0.25">
      <c r="B46" s="62" t="s">
        <v>166</v>
      </c>
      <c r="C46" s="45"/>
      <c r="D46" s="45"/>
      <c r="E46" s="55">
        <f>SUM(E47:E49)</f>
        <v>0</v>
      </c>
      <c r="F46" s="55">
        <f t="shared" ref="F46:O46" si="9">SUM(F47:F49)</f>
        <v>0</v>
      </c>
      <c r="G46" s="55">
        <f t="shared" si="9"/>
        <v>0</v>
      </c>
      <c r="H46" s="55">
        <f t="shared" si="9"/>
        <v>0</v>
      </c>
      <c r="I46" s="55">
        <f t="shared" si="9"/>
        <v>0</v>
      </c>
      <c r="J46" s="55">
        <f t="shared" si="9"/>
        <v>0</v>
      </c>
      <c r="K46" s="55">
        <f t="shared" si="9"/>
        <v>0</v>
      </c>
      <c r="L46" s="55">
        <f t="shared" si="9"/>
        <v>0</v>
      </c>
      <c r="M46" s="55">
        <f t="shared" si="9"/>
        <v>0</v>
      </c>
      <c r="N46" s="55">
        <f t="shared" si="9"/>
        <v>0</v>
      </c>
      <c r="O46" s="55">
        <f t="shared" si="9"/>
        <v>0</v>
      </c>
      <c r="P46" s="50"/>
      <c r="Q46" s="55">
        <f t="shared" si="1"/>
        <v>0</v>
      </c>
      <c r="R46" s="45"/>
      <c r="S46" s="45"/>
      <c r="T46" s="45"/>
      <c r="U46" s="45"/>
      <c r="V46" s="45"/>
      <c r="W46" s="45"/>
      <c r="X46" s="45"/>
      <c r="Y46" s="45"/>
      <c r="Z46" s="45"/>
    </row>
    <row r="47" spans="2:26" x14ac:dyDescent="0.25">
      <c r="B47" s="56" t="s">
        <v>129</v>
      </c>
      <c r="C47" s="57"/>
      <c r="D47" s="58" t="s">
        <v>162</v>
      </c>
      <c r="E47" s="72"/>
      <c r="F47" s="72"/>
      <c r="G47" s="72"/>
      <c r="H47" s="72"/>
      <c r="I47" s="72"/>
      <c r="J47" s="72"/>
      <c r="K47" s="72"/>
      <c r="L47" s="72"/>
      <c r="M47" s="72"/>
      <c r="N47" s="72"/>
      <c r="O47" s="72"/>
      <c r="P47" s="50"/>
      <c r="Q47" s="55">
        <f t="shared" si="1"/>
        <v>0</v>
      </c>
      <c r="R47" s="45"/>
      <c r="S47" s="45"/>
      <c r="T47" s="45"/>
      <c r="U47" s="45"/>
      <c r="V47" s="45"/>
      <c r="W47" s="45"/>
      <c r="X47" s="45"/>
      <c r="Y47" s="45"/>
      <c r="Z47" s="45"/>
    </row>
    <row r="48" spans="2:26" x14ac:dyDescent="0.25">
      <c r="B48" s="56" t="s">
        <v>130</v>
      </c>
      <c r="C48" s="57"/>
      <c r="D48" s="58" t="s">
        <v>162</v>
      </c>
      <c r="E48" s="72"/>
      <c r="F48" s="72"/>
      <c r="G48" s="72"/>
      <c r="H48" s="72"/>
      <c r="I48" s="72"/>
      <c r="J48" s="72"/>
      <c r="K48" s="72"/>
      <c r="L48" s="72"/>
      <c r="M48" s="72"/>
      <c r="N48" s="72"/>
      <c r="O48" s="72"/>
      <c r="P48" s="50"/>
      <c r="Q48" s="55">
        <f t="shared" si="1"/>
        <v>0</v>
      </c>
      <c r="R48" s="45"/>
      <c r="S48" s="45"/>
      <c r="T48" s="45"/>
      <c r="U48" s="45"/>
      <c r="V48" s="45"/>
      <c r="W48" s="45"/>
      <c r="X48" s="45"/>
      <c r="Y48" s="45"/>
      <c r="Z48" s="45"/>
    </row>
    <row r="49" spans="2:26" x14ac:dyDescent="0.25">
      <c r="B49" s="56" t="s">
        <v>131</v>
      </c>
      <c r="C49" s="57"/>
      <c r="D49" s="58" t="s">
        <v>162</v>
      </c>
      <c r="E49" s="72"/>
      <c r="F49" s="72"/>
      <c r="G49" s="72"/>
      <c r="H49" s="72"/>
      <c r="I49" s="72"/>
      <c r="J49" s="72"/>
      <c r="K49" s="72"/>
      <c r="L49" s="72"/>
      <c r="M49" s="72"/>
      <c r="N49" s="72"/>
      <c r="O49" s="72"/>
      <c r="P49" s="50"/>
      <c r="Q49" s="55">
        <f t="shared" si="1"/>
        <v>0</v>
      </c>
      <c r="R49" s="45"/>
      <c r="S49" s="45"/>
      <c r="T49" s="45"/>
      <c r="U49" s="45"/>
      <c r="V49" s="45"/>
      <c r="W49" s="45"/>
      <c r="X49" s="45"/>
      <c r="Y49" s="45"/>
      <c r="Z49" s="45"/>
    </row>
    <row r="50" spans="2:26" x14ac:dyDescent="0.25">
      <c r="B50" s="40"/>
      <c r="C50" s="45"/>
      <c r="D50" s="45"/>
      <c r="E50" s="50"/>
      <c r="F50" s="50"/>
      <c r="G50" s="50"/>
      <c r="H50" s="50"/>
      <c r="I50" s="50"/>
      <c r="J50" s="50"/>
      <c r="K50" s="50"/>
      <c r="L50" s="50"/>
      <c r="M50" s="50"/>
      <c r="N50" s="50"/>
      <c r="O50" s="50"/>
      <c r="P50" s="50"/>
      <c r="Q50" s="50"/>
      <c r="R50" s="45"/>
      <c r="S50" s="45"/>
      <c r="T50" s="45"/>
      <c r="U50" s="45"/>
      <c r="V50" s="45"/>
      <c r="W50" s="45"/>
      <c r="X50" s="45"/>
      <c r="Y50" s="45"/>
      <c r="Z50" s="45"/>
    </row>
    <row r="51" spans="2:26" x14ac:dyDescent="0.25">
      <c r="B51" s="99" t="s">
        <v>167</v>
      </c>
      <c r="C51" s="45"/>
      <c r="D51" s="45"/>
      <c r="E51" s="82">
        <f>IFERROR(E46*E41,"-")</f>
        <v>0</v>
      </c>
      <c r="F51" s="82">
        <f t="shared" ref="F51:O51" si="10">IFERROR(F46*F41,"-")</f>
        <v>0</v>
      </c>
      <c r="G51" s="82">
        <f t="shared" si="10"/>
        <v>0</v>
      </c>
      <c r="H51" s="82">
        <f t="shared" si="10"/>
        <v>0</v>
      </c>
      <c r="I51" s="82">
        <f t="shared" si="10"/>
        <v>0</v>
      </c>
      <c r="J51" s="82">
        <f t="shared" si="10"/>
        <v>0</v>
      </c>
      <c r="K51" s="82">
        <f t="shared" si="10"/>
        <v>0</v>
      </c>
      <c r="L51" s="82">
        <f t="shared" si="10"/>
        <v>0</v>
      </c>
      <c r="M51" s="82">
        <f t="shared" si="10"/>
        <v>0</v>
      </c>
      <c r="N51" s="82">
        <f t="shared" si="10"/>
        <v>0</v>
      </c>
      <c r="O51" s="82" t="str">
        <f t="shared" si="10"/>
        <v>-</v>
      </c>
      <c r="P51" s="50"/>
      <c r="Q51" s="55">
        <f t="shared" si="1"/>
        <v>0</v>
      </c>
      <c r="R51" s="45"/>
      <c r="S51" s="45"/>
      <c r="T51" s="45"/>
      <c r="U51" s="45"/>
      <c r="V51" s="45"/>
      <c r="W51" s="45"/>
      <c r="X51" s="45"/>
      <c r="Y51" s="45"/>
      <c r="Z51" s="45"/>
    </row>
    <row r="52" spans="2:26" x14ac:dyDescent="0.25">
      <c r="B52" s="40"/>
      <c r="C52" s="45"/>
      <c r="D52" s="45"/>
      <c r="E52" s="50"/>
      <c r="F52" s="50"/>
      <c r="G52" s="50"/>
      <c r="H52" s="50"/>
      <c r="I52" s="50"/>
      <c r="J52" s="50"/>
      <c r="K52" s="50"/>
      <c r="L52" s="50"/>
      <c r="M52" s="50"/>
      <c r="N52" s="50"/>
      <c r="O52" s="50"/>
      <c r="P52" s="50"/>
      <c r="Q52" s="50"/>
      <c r="R52" s="45"/>
      <c r="S52" s="45"/>
      <c r="T52" s="45"/>
      <c r="U52" s="45"/>
      <c r="V52" s="45"/>
      <c r="W52" s="45"/>
      <c r="X52" s="45"/>
      <c r="Y52" s="45"/>
      <c r="Z52" s="45"/>
    </row>
    <row r="53" spans="2:26" x14ac:dyDescent="0.25">
      <c r="B53" s="52" t="s">
        <v>168</v>
      </c>
      <c r="C53" s="45"/>
      <c r="D53" s="45"/>
      <c r="E53" s="60">
        <f>SUM(E51:O51)</f>
        <v>0</v>
      </c>
      <c r="F53" s="170" t="s">
        <v>217</v>
      </c>
      <c r="G53" s="50"/>
      <c r="H53" s="50"/>
      <c r="I53" s="50"/>
      <c r="J53" s="50"/>
      <c r="K53" s="50"/>
      <c r="L53" s="50"/>
      <c r="M53" s="50"/>
      <c r="N53" s="50"/>
      <c r="O53" s="50"/>
      <c r="P53" s="50"/>
      <c r="Q53" s="50"/>
      <c r="R53" s="45"/>
      <c r="S53" s="45"/>
      <c r="T53" s="45"/>
      <c r="U53" s="45"/>
      <c r="V53" s="45"/>
      <c r="W53" s="45"/>
      <c r="X53" s="45"/>
      <c r="Y53" s="45"/>
      <c r="Z53" s="45"/>
    </row>
    <row r="54" spans="2:26" x14ac:dyDescent="0.25">
      <c r="B54" s="40"/>
      <c r="C54" s="45"/>
      <c r="D54" s="45"/>
      <c r="E54" s="50"/>
      <c r="F54" s="50"/>
      <c r="G54" s="50"/>
      <c r="H54" s="50"/>
      <c r="I54" s="50"/>
      <c r="J54" s="50"/>
      <c r="K54" s="50"/>
      <c r="L54" s="50"/>
      <c r="M54" s="50"/>
      <c r="N54" s="50"/>
      <c r="O54" s="50"/>
      <c r="P54" s="50"/>
      <c r="Q54" s="50"/>
      <c r="R54" s="45"/>
      <c r="S54" s="45"/>
      <c r="T54" s="45"/>
      <c r="U54" s="45"/>
      <c r="V54" s="45"/>
      <c r="W54" s="45"/>
      <c r="X54" s="45"/>
      <c r="Y54" s="45"/>
      <c r="Z54" s="45"/>
    </row>
    <row r="55" spans="2:26" x14ac:dyDescent="0.25">
      <c r="B55" s="62" t="s">
        <v>165</v>
      </c>
      <c r="C55" s="45"/>
      <c r="D55" s="45"/>
      <c r="E55" s="55">
        <f>E37+E46</f>
        <v>0</v>
      </c>
      <c r="F55" s="55">
        <f t="shared" ref="F55:O55" si="11">F37+F46</f>
        <v>0</v>
      </c>
      <c r="G55" s="55">
        <f t="shared" si="11"/>
        <v>0</v>
      </c>
      <c r="H55" s="55">
        <f t="shared" si="11"/>
        <v>0</v>
      </c>
      <c r="I55" s="55">
        <f t="shared" si="11"/>
        <v>0</v>
      </c>
      <c r="J55" s="55">
        <f t="shared" si="11"/>
        <v>0</v>
      </c>
      <c r="K55" s="55">
        <f t="shared" si="11"/>
        <v>0</v>
      </c>
      <c r="L55" s="55">
        <f t="shared" si="11"/>
        <v>0</v>
      </c>
      <c r="M55" s="55">
        <f t="shared" si="11"/>
        <v>0</v>
      </c>
      <c r="N55" s="55">
        <f t="shared" si="11"/>
        <v>0</v>
      </c>
      <c r="O55" s="55">
        <f t="shared" si="11"/>
        <v>0</v>
      </c>
      <c r="P55" s="50"/>
      <c r="Q55" s="55">
        <f t="shared" si="1"/>
        <v>0</v>
      </c>
      <c r="R55" s="45"/>
      <c r="S55" s="45"/>
      <c r="T55" s="45"/>
      <c r="U55" s="45"/>
      <c r="V55" s="45"/>
      <c r="W55" s="45"/>
      <c r="X55" s="45"/>
      <c r="Y55" s="45"/>
      <c r="Z55" s="45"/>
    </row>
    <row r="56" spans="2:26" x14ac:dyDescent="0.25">
      <c r="B56" s="56" t="s">
        <v>172</v>
      </c>
      <c r="C56" s="45"/>
      <c r="D56" s="45"/>
      <c r="E56" s="82">
        <f>IFERROR(E55*E41,"-")</f>
        <v>0</v>
      </c>
      <c r="F56" s="82">
        <f t="shared" ref="F56:O56" si="12">IFERROR(F55*F41,"-")</f>
        <v>0</v>
      </c>
      <c r="G56" s="82">
        <f t="shared" si="12"/>
        <v>0</v>
      </c>
      <c r="H56" s="82">
        <f t="shared" si="12"/>
        <v>0</v>
      </c>
      <c r="I56" s="82">
        <f t="shared" si="12"/>
        <v>0</v>
      </c>
      <c r="J56" s="82">
        <f t="shared" si="12"/>
        <v>0</v>
      </c>
      <c r="K56" s="82">
        <f t="shared" si="12"/>
        <v>0</v>
      </c>
      <c r="L56" s="82">
        <f t="shared" si="12"/>
        <v>0</v>
      </c>
      <c r="M56" s="82">
        <f t="shared" si="12"/>
        <v>0</v>
      </c>
      <c r="N56" s="82">
        <f t="shared" si="12"/>
        <v>0</v>
      </c>
      <c r="O56" s="82" t="str">
        <f t="shared" si="12"/>
        <v>-</v>
      </c>
      <c r="P56" s="50"/>
      <c r="Q56" s="55">
        <f t="shared" si="1"/>
        <v>0</v>
      </c>
      <c r="R56" s="45"/>
      <c r="S56" s="45"/>
      <c r="T56" s="45"/>
      <c r="U56" s="45"/>
      <c r="V56" s="45"/>
      <c r="W56" s="45"/>
      <c r="X56" s="45"/>
      <c r="Y56" s="45"/>
      <c r="Z56" s="45"/>
    </row>
    <row r="57" spans="2:26" x14ac:dyDescent="0.25">
      <c r="C57" s="45"/>
      <c r="D57" s="45"/>
      <c r="E57" s="50"/>
      <c r="F57" s="50"/>
      <c r="G57" s="50"/>
      <c r="H57" s="50"/>
      <c r="I57" s="50"/>
      <c r="J57" s="50"/>
      <c r="K57" s="50"/>
      <c r="L57" s="50"/>
      <c r="M57" s="50"/>
      <c r="N57" s="50"/>
      <c r="O57" s="50"/>
      <c r="P57" s="50"/>
      <c r="Q57" s="50"/>
      <c r="R57" s="45"/>
      <c r="S57" s="45"/>
      <c r="T57" s="45"/>
      <c r="U57" s="45"/>
      <c r="V57" s="45"/>
      <c r="W57" s="45"/>
      <c r="X57" s="45"/>
      <c r="Y57" s="45"/>
      <c r="Z57" s="45"/>
    </row>
    <row r="58" spans="2:26" x14ac:dyDescent="0.25">
      <c r="B58" s="97" t="s">
        <v>140</v>
      </c>
      <c r="C58" s="45"/>
      <c r="D58" s="45"/>
      <c r="E58" s="60">
        <f>SUM(E56:O56)</f>
        <v>0</v>
      </c>
      <c r="F58" s="170" t="s">
        <v>217</v>
      </c>
      <c r="G58" s="50"/>
      <c r="H58" s="50"/>
      <c r="I58" s="50"/>
      <c r="J58" s="50"/>
      <c r="K58" s="50"/>
      <c r="L58" s="50"/>
      <c r="M58" s="50"/>
      <c r="N58" s="50"/>
      <c r="O58" s="50"/>
      <c r="P58" s="50"/>
      <c r="Q58" s="50"/>
      <c r="R58" s="45"/>
      <c r="S58" s="45"/>
      <c r="T58" s="45"/>
      <c r="U58" s="45"/>
      <c r="V58" s="45"/>
      <c r="W58" s="45"/>
      <c r="X58" s="45"/>
      <c r="Y58" s="45"/>
      <c r="Z58" s="45"/>
    </row>
    <row r="59" spans="2:26" x14ac:dyDescent="0.25">
      <c r="C59" s="45"/>
      <c r="D59" s="45"/>
      <c r="E59" s="50"/>
      <c r="F59" s="50"/>
      <c r="G59" s="50"/>
      <c r="H59" s="50"/>
      <c r="I59" s="50"/>
      <c r="J59" s="50"/>
      <c r="K59" s="50"/>
      <c r="L59" s="50"/>
      <c r="M59" s="50"/>
      <c r="N59" s="50"/>
      <c r="O59" s="50"/>
      <c r="P59" s="50"/>
      <c r="Q59" s="50"/>
      <c r="R59" s="45"/>
      <c r="S59" s="45"/>
      <c r="T59" s="45"/>
      <c r="U59" s="45"/>
      <c r="V59" s="45"/>
      <c r="W59" s="45"/>
      <c r="X59" s="45"/>
      <c r="Y59" s="45"/>
      <c r="Z59" s="45"/>
    </row>
    <row r="60" spans="2:26" x14ac:dyDescent="0.25">
      <c r="B60" s="121" t="s">
        <v>146</v>
      </c>
      <c r="C60" s="45"/>
      <c r="D60" s="45"/>
      <c r="E60" s="89"/>
      <c r="F60" s="89"/>
      <c r="G60" s="89"/>
      <c r="H60" s="89"/>
      <c r="I60" s="89"/>
      <c r="J60" s="89"/>
      <c r="K60" s="89"/>
      <c r="L60" s="89"/>
      <c r="M60" s="89"/>
      <c r="N60" s="89"/>
      <c r="O60" s="89"/>
      <c r="P60" s="50"/>
      <c r="Q60" s="55">
        <f t="shared" ref="Q60" si="13">SUM(E60:O60)</f>
        <v>0</v>
      </c>
      <c r="R60" s="45"/>
      <c r="S60" s="45"/>
      <c r="T60" s="45"/>
      <c r="U60" s="45"/>
      <c r="V60" s="45"/>
      <c r="W60" s="45"/>
      <c r="X60" s="45"/>
      <c r="Y60" s="45"/>
      <c r="Z60" s="45"/>
    </row>
    <row r="61" spans="2:26" x14ac:dyDescent="0.25">
      <c r="C61" s="45"/>
      <c r="D61" s="45"/>
      <c r="E61" s="45"/>
      <c r="F61" s="45"/>
      <c r="G61" s="45"/>
      <c r="H61" s="45"/>
      <c r="I61" s="45"/>
      <c r="J61" s="45"/>
      <c r="K61" s="45"/>
      <c r="L61" s="45"/>
      <c r="M61" s="45"/>
      <c r="N61" s="45"/>
      <c r="O61" s="45"/>
      <c r="P61" s="45"/>
      <c r="Q61" s="45"/>
      <c r="R61" s="45"/>
      <c r="S61" s="45"/>
      <c r="T61" s="45"/>
      <c r="U61" s="45"/>
      <c r="V61" s="45"/>
      <c r="W61" s="45"/>
      <c r="X61" s="45"/>
      <c r="Y61" s="45"/>
      <c r="Z61" s="45"/>
    </row>
    <row r="62" spans="2:26" x14ac:dyDescent="0.25"/>
  </sheetData>
  <mergeCells count="1">
    <mergeCell ref="E2:G2"/>
  </mergeCells>
  <conditionalFormatting sqref="E2:G2">
    <cfRule type="cellIs" dxfId="15" priority="3" operator="equal">
      <formula>"NEAIZPILDĪT"</formula>
    </cfRule>
  </conditionalFormatting>
  <conditionalFormatting sqref="B5:Q13 B17:Q60 C14:Q16">
    <cfRule type="expression" dxfId="14" priority="2">
      <formula>$E$2="NEAIZPILDĪT"</formula>
    </cfRule>
  </conditionalFormatting>
  <conditionalFormatting sqref="B14:B16">
    <cfRule type="expression" dxfId="13" priority="1">
      <formula>$E$2="NEAIZPILDĪT"</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Z70"/>
  <sheetViews>
    <sheetView zoomScale="80" zoomScaleNormal="80" workbookViewId="0">
      <pane xSplit="4" ySplit="9" topLeftCell="E10" activePane="bottomRight" state="frozen"/>
      <selection pane="topRight" activeCell="E1" sqref="E1"/>
      <selection pane="bottomLeft" activeCell="A10" sqref="A10"/>
      <selection pane="bottomRight" activeCell="Q68" sqref="Q68"/>
    </sheetView>
  </sheetViews>
  <sheetFormatPr defaultColWidth="0" defaultRowHeight="12" zeroHeight="1" outlineLevelCol="1" x14ac:dyDescent="0.25"/>
  <cols>
    <col min="1" max="1" width="8.88671875" style="1" customWidth="1"/>
    <col min="2" max="2" width="41.21875" style="1" bestFit="1" customWidth="1"/>
    <col min="3" max="3" width="3.33203125" style="1" customWidth="1"/>
    <col min="4" max="4" width="12.6640625" style="1" hidden="1" customWidth="1" outlineLevel="1"/>
    <col min="5" max="5" width="10.33203125" style="1" bestFit="1" customWidth="1" collapsed="1"/>
    <col min="6" max="14" width="8.88671875" style="1" customWidth="1"/>
    <col min="15" max="15" width="8.88671875" style="1" hidden="1" customWidth="1"/>
    <col min="16" max="16" width="2.88671875" style="1" customWidth="1"/>
    <col min="17" max="18" width="8.88671875" style="1" customWidth="1"/>
    <col min="19" max="16384" width="8.88671875" style="1" hidden="1"/>
  </cols>
  <sheetData>
    <row r="1" spans="2:26" x14ac:dyDescent="0.25"/>
    <row r="2" spans="2:26" ht="14.4" x14ac:dyDescent="0.3">
      <c r="B2" s="51" t="s">
        <v>218</v>
      </c>
      <c r="C2" s="51"/>
      <c r="D2" s="51"/>
      <c r="E2" s="263" t="str">
        <f>IF(Titullapa!$D$21="Jā","AIZPILDĪT","NEAIZPILDĪT")</f>
        <v>AIZPILDĪT</v>
      </c>
      <c r="F2" s="263"/>
      <c r="G2" s="263"/>
      <c r="H2" s="51"/>
      <c r="I2" s="51"/>
      <c r="J2" s="51"/>
      <c r="K2" s="51"/>
      <c r="L2" s="51"/>
      <c r="M2" s="51"/>
      <c r="N2" s="51"/>
      <c r="O2" s="51"/>
    </row>
    <row r="3" spans="2:26" x14ac:dyDescent="0.25"/>
    <row r="4" spans="2:26" x14ac:dyDescent="0.25"/>
    <row r="5" spans="2:26" x14ac:dyDescent="0.25">
      <c r="B5" s="54" t="s">
        <v>147</v>
      </c>
      <c r="E5" s="63" t="s">
        <v>137</v>
      </c>
    </row>
    <row r="6" spans="2:26" x14ac:dyDescent="0.25">
      <c r="B6" s="54" t="s">
        <v>194</v>
      </c>
      <c r="C6" s="45"/>
      <c r="D6" s="45"/>
      <c r="E6" s="69">
        <f>NPV_Bāze_I!E6</f>
        <v>0.04</v>
      </c>
      <c r="F6" s="45"/>
      <c r="G6" s="45"/>
      <c r="H6" s="45"/>
      <c r="I6" s="45"/>
      <c r="J6" s="45"/>
      <c r="K6" s="45"/>
      <c r="L6" s="45"/>
      <c r="M6" s="45"/>
      <c r="N6" s="45"/>
      <c r="O6" s="45"/>
      <c r="P6" s="45"/>
      <c r="Q6" s="45"/>
      <c r="R6" s="45"/>
      <c r="S6" s="45"/>
      <c r="T6" s="45"/>
      <c r="U6" s="45"/>
      <c r="V6" s="45"/>
      <c r="W6" s="45"/>
      <c r="X6" s="45"/>
      <c r="Y6" s="45"/>
      <c r="Z6" s="45"/>
    </row>
    <row r="7" spans="2:26" x14ac:dyDescent="0.25">
      <c r="B7" s="46"/>
      <c r="C7" s="45"/>
      <c r="D7" s="45"/>
      <c r="E7" s="45"/>
      <c r="F7" s="45"/>
      <c r="G7" s="45"/>
      <c r="H7" s="45"/>
      <c r="I7" s="45"/>
      <c r="J7" s="45"/>
      <c r="K7" s="45"/>
      <c r="L7" s="45"/>
      <c r="M7" s="45"/>
      <c r="N7" s="45"/>
      <c r="O7" s="45"/>
      <c r="P7" s="45"/>
      <c r="Q7" s="45"/>
      <c r="R7" s="45"/>
      <c r="S7" s="45"/>
      <c r="T7" s="45"/>
      <c r="U7" s="45"/>
      <c r="V7" s="45"/>
      <c r="W7" s="45"/>
      <c r="X7" s="45"/>
      <c r="Y7" s="45"/>
      <c r="Z7" s="45"/>
    </row>
    <row r="8" spans="2:26" x14ac:dyDescent="0.25">
      <c r="B8" s="54" t="s">
        <v>170</v>
      </c>
      <c r="C8" s="45"/>
      <c r="D8" s="45"/>
      <c r="E8" s="174">
        <f>Projekts!D4</f>
        <v>2022</v>
      </c>
      <c r="F8" s="174">
        <f>Projekts!E4</f>
        <v>2023</v>
      </c>
      <c r="G8" s="174">
        <f>Projekts!F4</f>
        <v>2024</v>
      </c>
      <c r="H8" s="174">
        <f>Projekts!G4</f>
        <v>2025</v>
      </c>
      <c r="I8" s="174">
        <f>Projekts!H4</f>
        <v>2026</v>
      </c>
      <c r="J8" s="174">
        <f>Projekts!I4</f>
        <v>2027</v>
      </c>
      <c r="K8" s="174">
        <f>Projekts!J4</f>
        <v>2028</v>
      </c>
      <c r="L8" s="174">
        <f>Projekts!K4</f>
        <v>2029</v>
      </c>
      <c r="M8" s="174">
        <f>Projekts!L4</f>
        <v>2030</v>
      </c>
      <c r="N8" s="174">
        <f>Projekts!M4</f>
        <v>2031</v>
      </c>
      <c r="O8" s="67"/>
      <c r="P8" s="45"/>
      <c r="Q8" s="45" t="s">
        <v>192</v>
      </c>
      <c r="R8" s="45"/>
      <c r="S8" s="45"/>
      <c r="T8" s="45"/>
      <c r="U8" s="45"/>
      <c r="V8" s="45"/>
      <c r="W8" s="45"/>
      <c r="X8" s="45"/>
      <c r="Y8" s="45"/>
      <c r="Z8" s="45"/>
    </row>
    <row r="9" spans="2:26" x14ac:dyDescent="0.25">
      <c r="B9" s="54" t="s">
        <v>169</v>
      </c>
      <c r="C9" s="45"/>
      <c r="D9" s="45"/>
      <c r="E9" s="175">
        <f>Projekts!D5</f>
        <v>1</v>
      </c>
      <c r="F9" s="175">
        <f>Projekts!E5</f>
        <v>2</v>
      </c>
      <c r="G9" s="175">
        <f>Projekts!F5</f>
        <v>3</v>
      </c>
      <c r="H9" s="175">
        <f>Projekts!G5</f>
        <v>4</v>
      </c>
      <c r="I9" s="175">
        <f>Projekts!H5</f>
        <v>5</v>
      </c>
      <c r="J9" s="175">
        <f>Projekts!I5</f>
        <v>6</v>
      </c>
      <c r="K9" s="175">
        <f>Projekts!J5</f>
        <v>7</v>
      </c>
      <c r="L9" s="175">
        <f>Projekts!K5</f>
        <v>8</v>
      </c>
      <c r="M9" s="175">
        <f>Projekts!L5</f>
        <v>9</v>
      </c>
      <c r="N9" s="175">
        <f>Projekts!M5</f>
        <v>10</v>
      </c>
      <c r="O9" s="61" t="s">
        <v>111</v>
      </c>
      <c r="P9" s="45"/>
      <c r="Q9" s="45">
        <f>COUNTA(E9:O9)</f>
        <v>11</v>
      </c>
      <c r="R9" s="45"/>
      <c r="S9" s="45"/>
      <c r="T9" s="45"/>
      <c r="U9" s="45"/>
      <c r="V9" s="45"/>
      <c r="W9" s="45"/>
      <c r="X9" s="45"/>
      <c r="Y9" s="45"/>
      <c r="Z9" s="45"/>
    </row>
    <row r="10" spans="2:26" x14ac:dyDescent="0.25">
      <c r="B10" s="54" t="s">
        <v>148</v>
      </c>
      <c r="C10" s="45"/>
      <c r="D10" s="45"/>
      <c r="E10" s="176">
        <f>Projekts!D9</f>
        <v>0.02</v>
      </c>
      <c r="F10" s="176">
        <f>Projekts!E9</f>
        <v>0.02</v>
      </c>
      <c r="G10" s="176">
        <f>Projekts!F9</f>
        <v>0.02</v>
      </c>
      <c r="H10" s="176">
        <f>Projekts!G9</f>
        <v>0.02</v>
      </c>
      <c r="I10" s="176">
        <f>Projekts!H9</f>
        <v>0.02</v>
      </c>
      <c r="J10" s="176">
        <f>Projekts!I9</f>
        <v>0.02</v>
      </c>
      <c r="K10" s="176">
        <f>Projekts!J9</f>
        <v>0.02</v>
      </c>
      <c r="L10" s="176">
        <f>Projekts!K9</f>
        <v>0.02</v>
      </c>
      <c r="M10" s="176">
        <f>Projekts!L9</f>
        <v>0.02</v>
      </c>
      <c r="N10" s="176">
        <f>Projekts!M9</f>
        <v>0.02</v>
      </c>
      <c r="O10" s="68"/>
      <c r="P10" s="45"/>
      <c r="Q10" s="45"/>
      <c r="R10" s="45"/>
      <c r="S10" s="45"/>
      <c r="T10" s="45"/>
      <c r="U10" s="45"/>
      <c r="V10" s="45"/>
      <c r="W10" s="45"/>
      <c r="X10" s="45"/>
      <c r="Y10" s="45"/>
      <c r="Z10" s="45"/>
    </row>
    <row r="11" spans="2:26" x14ac:dyDescent="0.25">
      <c r="B11" s="40"/>
      <c r="C11" s="45"/>
      <c r="D11" s="45"/>
      <c r="E11" s="45"/>
      <c r="F11" s="45"/>
      <c r="G11" s="45"/>
      <c r="H11" s="45"/>
      <c r="I11" s="45"/>
      <c r="J11" s="45"/>
      <c r="K11" s="45"/>
      <c r="L11" s="45"/>
      <c r="M11" s="45"/>
      <c r="N11" s="45"/>
      <c r="O11" s="45"/>
      <c r="P11" s="45"/>
      <c r="Q11" s="45"/>
      <c r="R11" s="45"/>
      <c r="S11" s="45"/>
      <c r="T11" s="45"/>
      <c r="U11" s="45"/>
      <c r="V11" s="45"/>
      <c r="W11" s="45"/>
      <c r="X11" s="45"/>
      <c r="Y11" s="45"/>
      <c r="Z11" s="45"/>
    </row>
    <row r="12" spans="2:26" x14ac:dyDescent="0.25">
      <c r="B12" s="47" t="s">
        <v>173</v>
      </c>
      <c r="C12" s="45"/>
      <c r="D12" s="49" t="s">
        <v>161</v>
      </c>
      <c r="E12" s="45"/>
      <c r="F12" s="45"/>
      <c r="G12" s="45"/>
      <c r="H12" s="45"/>
      <c r="I12" s="45"/>
      <c r="J12" s="45"/>
      <c r="K12" s="45"/>
      <c r="L12" s="45"/>
      <c r="M12" s="45"/>
      <c r="N12" s="45"/>
      <c r="O12" s="45"/>
      <c r="P12" s="45"/>
      <c r="Q12" s="45"/>
      <c r="R12" s="45"/>
      <c r="S12" s="45"/>
      <c r="T12" s="45"/>
      <c r="U12" s="45"/>
      <c r="V12" s="45"/>
      <c r="W12" s="45"/>
      <c r="X12" s="45"/>
      <c r="Y12" s="45"/>
      <c r="Z12" s="45"/>
    </row>
    <row r="13" spans="2:26" x14ac:dyDescent="0.25">
      <c r="B13" s="62" t="s">
        <v>150</v>
      </c>
      <c r="C13" s="45"/>
      <c r="D13" s="49"/>
      <c r="E13" s="55">
        <f>SUM(E14:E17)</f>
        <v>-751000</v>
      </c>
      <c r="F13" s="55">
        <f t="shared" ref="F13:O13" si="0">SUM(F14:F17)</f>
        <v>-94000</v>
      </c>
      <c r="G13" s="55">
        <f t="shared" si="0"/>
        <v>0</v>
      </c>
      <c r="H13" s="55">
        <f t="shared" si="0"/>
        <v>0</v>
      </c>
      <c r="I13" s="55">
        <f t="shared" si="0"/>
        <v>0</v>
      </c>
      <c r="J13" s="55">
        <f t="shared" si="0"/>
        <v>-56250</v>
      </c>
      <c r="K13" s="55">
        <f t="shared" si="0"/>
        <v>0</v>
      </c>
      <c r="L13" s="55">
        <f t="shared" si="0"/>
        <v>0</v>
      </c>
      <c r="M13" s="55">
        <f t="shared" si="0"/>
        <v>0</v>
      </c>
      <c r="N13" s="55">
        <f t="shared" si="0"/>
        <v>0</v>
      </c>
      <c r="O13" s="55">
        <f t="shared" si="0"/>
        <v>0</v>
      </c>
      <c r="P13" s="50"/>
      <c r="Q13" s="55">
        <f>SUM(E13:O13)</f>
        <v>-901250</v>
      </c>
      <c r="R13" s="45"/>
      <c r="S13" s="45"/>
      <c r="T13" s="45"/>
      <c r="U13" s="45"/>
      <c r="V13" s="45"/>
      <c r="W13" s="45"/>
      <c r="X13" s="45"/>
      <c r="Y13" s="45"/>
      <c r="Z13" s="45"/>
    </row>
    <row r="14" spans="2:26" x14ac:dyDescent="0.25">
      <c r="B14" s="83" t="str">
        <f>Projekts!B22</f>
        <v>1. Būvniecības izmaksas:</v>
      </c>
      <c r="C14" s="45"/>
      <c r="D14" s="49" t="s">
        <v>162</v>
      </c>
      <c r="E14" s="72">
        <f>Projekts!D22</f>
        <v>-591000</v>
      </c>
      <c r="F14" s="72">
        <f>Projekts!E22</f>
        <v>-54000</v>
      </c>
      <c r="G14" s="72">
        <f>Projekts!F22</f>
        <v>0</v>
      </c>
      <c r="H14" s="72">
        <f>Projekts!G22</f>
        <v>0</v>
      </c>
      <c r="I14" s="72">
        <f>Projekts!H22</f>
        <v>0</v>
      </c>
      <c r="J14" s="72">
        <f>Projekts!I22</f>
        <v>-56250</v>
      </c>
      <c r="K14" s="72">
        <f>Projekts!J22</f>
        <v>0</v>
      </c>
      <c r="L14" s="72">
        <f>Projekts!K22</f>
        <v>0</v>
      </c>
      <c r="M14" s="72">
        <f>Projekts!L22</f>
        <v>0</v>
      </c>
      <c r="N14" s="72">
        <f>Projekts!M22</f>
        <v>0</v>
      </c>
      <c r="O14" s="72"/>
      <c r="P14" s="50"/>
      <c r="Q14" s="55">
        <f t="shared" ref="Q14:Q64" si="1">SUM(E14:O14)</f>
        <v>-701250</v>
      </c>
      <c r="R14" s="45"/>
      <c r="S14" s="45"/>
      <c r="T14" s="45"/>
      <c r="U14" s="45"/>
      <c r="V14" s="45"/>
      <c r="W14" s="45"/>
      <c r="X14" s="45"/>
      <c r="Y14" s="45"/>
      <c r="Z14" s="45"/>
    </row>
    <row r="15" spans="2:26" x14ac:dyDescent="0.25">
      <c r="B15" s="83" t="str">
        <f>Projekts!B26</f>
        <v>2. Pamatlīdzekļu iegāde</v>
      </c>
      <c r="C15" s="45"/>
      <c r="D15" s="49" t="s">
        <v>162</v>
      </c>
      <c r="E15" s="72">
        <f>Projekts!D26</f>
        <v>-160000</v>
      </c>
      <c r="F15" s="72">
        <f>Projekts!E26</f>
        <v>-40000</v>
      </c>
      <c r="G15" s="72">
        <f>Projekts!F26</f>
        <v>0</v>
      </c>
      <c r="H15" s="72">
        <f>Projekts!G26</f>
        <v>0</v>
      </c>
      <c r="I15" s="72">
        <f>Projekts!H26</f>
        <v>0</v>
      </c>
      <c r="J15" s="72">
        <f>Projekts!I26</f>
        <v>0</v>
      </c>
      <c r="K15" s="72">
        <f>Projekts!J26</f>
        <v>0</v>
      </c>
      <c r="L15" s="72">
        <f>Projekts!K26</f>
        <v>0</v>
      </c>
      <c r="M15" s="72">
        <f>Projekts!L26</f>
        <v>0</v>
      </c>
      <c r="N15" s="72">
        <f>Projekts!M26</f>
        <v>0</v>
      </c>
      <c r="O15" s="72"/>
      <c r="P15" s="50"/>
      <c r="Q15" s="55">
        <f t="shared" si="1"/>
        <v>-200000</v>
      </c>
      <c r="R15" s="45"/>
      <c r="S15" s="45"/>
      <c r="T15" s="45"/>
      <c r="U15" s="45"/>
      <c r="V15" s="45"/>
      <c r="W15" s="45"/>
      <c r="X15" s="45"/>
      <c r="Y15" s="45"/>
      <c r="Z15" s="45"/>
    </row>
    <row r="16" spans="2:26" hidden="1" x14ac:dyDescent="0.25">
      <c r="B16" s="83"/>
      <c r="C16" s="45"/>
      <c r="D16" s="49" t="s">
        <v>162</v>
      </c>
      <c r="E16" s="72"/>
      <c r="F16" s="72"/>
      <c r="G16" s="72"/>
      <c r="H16" s="72"/>
      <c r="I16" s="72"/>
      <c r="J16" s="72"/>
      <c r="K16" s="72"/>
      <c r="L16" s="72"/>
      <c r="M16" s="72"/>
      <c r="N16" s="72"/>
      <c r="O16" s="72"/>
      <c r="P16" s="50"/>
      <c r="Q16" s="55">
        <f t="shared" si="1"/>
        <v>0</v>
      </c>
      <c r="R16" s="45"/>
      <c r="S16" s="45"/>
      <c r="T16" s="45"/>
      <c r="U16" s="45"/>
      <c r="V16" s="45"/>
      <c r="W16" s="45"/>
      <c r="X16" s="45"/>
      <c r="Y16" s="45"/>
      <c r="Z16" s="45"/>
    </row>
    <row r="17" spans="2:26" hidden="1" x14ac:dyDescent="0.25">
      <c r="B17" s="83"/>
      <c r="C17" s="45"/>
      <c r="D17" s="49" t="s">
        <v>162</v>
      </c>
      <c r="E17" s="72"/>
      <c r="F17" s="72"/>
      <c r="G17" s="72"/>
      <c r="H17" s="72"/>
      <c r="I17" s="72"/>
      <c r="J17" s="72"/>
      <c r="K17" s="72"/>
      <c r="L17" s="72"/>
      <c r="M17" s="72"/>
      <c r="N17" s="72"/>
      <c r="O17" s="72"/>
      <c r="P17" s="50"/>
      <c r="Q17" s="55">
        <f t="shared" si="1"/>
        <v>0</v>
      </c>
      <c r="R17" s="45"/>
      <c r="S17" s="45"/>
      <c r="T17" s="45"/>
      <c r="U17" s="45"/>
      <c r="V17" s="45"/>
      <c r="W17" s="45"/>
      <c r="X17" s="45"/>
      <c r="Y17" s="45"/>
      <c r="Z17" s="45"/>
    </row>
    <row r="18" spans="2:26" x14ac:dyDescent="0.25">
      <c r="B18" s="40"/>
      <c r="C18" s="45"/>
      <c r="D18" s="49"/>
      <c r="E18" s="50"/>
      <c r="F18" s="50"/>
      <c r="G18" s="50"/>
      <c r="H18" s="50"/>
      <c r="I18" s="50"/>
      <c r="J18" s="50"/>
      <c r="K18" s="50"/>
      <c r="L18" s="50"/>
      <c r="M18" s="50"/>
      <c r="N18" s="50"/>
      <c r="O18" s="50"/>
      <c r="P18" s="50"/>
      <c r="Q18" s="50"/>
      <c r="R18" s="45"/>
      <c r="S18" s="45"/>
      <c r="T18" s="45"/>
      <c r="U18" s="45"/>
      <c r="V18" s="45"/>
      <c r="W18" s="45"/>
      <c r="X18" s="45"/>
      <c r="Y18" s="45"/>
      <c r="Z18" s="45"/>
    </row>
    <row r="19" spans="2:26" x14ac:dyDescent="0.25">
      <c r="B19" s="62" t="s">
        <v>151</v>
      </c>
      <c r="C19" s="45"/>
      <c r="D19" s="49"/>
      <c r="E19" s="55">
        <f>E20+E25</f>
        <v>-171050</v>
      </c>
      <c r="F19" s="55">
        <f t="shared" ref="F19:O19" si="2">F20+F25</f>
        <v>-402775</v>
      </c>
      <c r="G19" s="55">
        <f t="shared" si="2"/>
        <v>-520372.9</v>
      </c>
      <c r="H19" s="55">
        <f t="shared" si="2"/>
        <v>-526556.45799999998</v>
      </c>
      <c r="I19" s="55">
        <f t="shared" si="2"/>
        <v>-533029.06215999997</v>
      </c>
      <c r="J19" s="55">
        <f t="shared" si="2"/>
        <v>-551054.76215319999</v>
      </c>
      <c r="K19" s="55">
        <f t="shared" si="2"/>
        <v>-558148.30208376399</v>
      </c>
      <c r="L19" s="55">
        <f t="shared" si="2"/>
        <v>-565575.15504731424</v>
      </c>
      <c r="M19" s="55">
        <f t="shared" si="2"/>
        <v>-573351.55941622937</v>
      </c>
      <c r="N19" s="55">
        <f t="shared" si="2"/>
        <v>-581494.55693592108</v>
      </c>
      <c r="O19" s="55">
        <f t="shared" si="2"/>
        <v>0</v>
      </c>
      <c r="P19" s="50"/>
      <c r="Q19" s="55">
        <f t="shared" si="1"/>
        <v>-4983407.7557964288</v>
      </c>
      <c r="R19" s="45"/>
      <c r="S19" s="45"/>
      <c r="T19" s="45"/>
      <c r="U19" s="45"/>
      <c r="V19" s="45"/>
      <c r="W19" s="45"/>
      <c r="X19" s="45"/>
      <c r="Y19" s="45"/>
      <c r="Z19" s="45"/>
    </row>
    <row r="20" spans="2:26" x14ac:dyDescent="0.25">
      <c r="B20" s="84" t="s">
        <v>152</v>
      </c>
      <c r="C20" s="45"/>
      <c r="D20" s="49"/>
      <c r="E20" s="55">
        <f>SUM(E21:E24)</f>
        <v>-100000</v>
      </c>
      <c r="F20" s="55">
        <f t="shared" ref="F20:O20" si="3">SUM(F21:F24)</f>
        <v>-328380</v>
      </c>
      <c r="G20" s="55">
        <f t="shared" si="3"/>
        <v>-445320</v>
      </c>
      <c r="H20" s="55">
        <f t="shared" si="3"/>
        <v>-450832.5</v>
      </c>
      <c r="I20" s="55">
        <f t="shared" si="3"/>
        <v>-456620.625</v>
      </c>
      <c r="J20" s="55">
        <f t="shared" si="3"/>
        <v>-462698.15625</v>
      </c>
      <c r="K20" s="55">
        <f t="shared" si="3"/>
        <v>-469079.56406250002</v>
      </c>
      <c r="L20" s="55">
        <f t="shared" si="3"/>
        <v>-475780.04226562497</v>
      </c>
      <c r="M20" s="55">
        <f t="shared" si="3"/>
        <v>-482815.54437890626</v>
      </c>
      <c r="N20" s="55">
        <f t="shared" si="3"/>
        <v>-490202.82159785158</v>
      </c>
      <c r="O20" s="55">
        <f t="shared" si="3"/>
        <v>0</v>
      </c>
      <c r="P20" s="50"/>
      <c r="Q20" s="55">
        <f t="shared" si="1"/>
        <v>-4161729.2535548834</v>
      </c>
      <c r="R20" s="45"/>
      <c r="S20" s="45"/>
      <c r="T20" s="45"/>
      <c r="U20" s="45"/>
      <c r="V20" s="45"/>
      <c r="W20" s="45"/>
      <c r="X20" s="45"/>
      <c r="Y20" s="45"/>
      <c r="Z20" s="45"/>
    </row>
    <row r="21" spans="2:26" x14ac:dyDescent="0.25">
      <c r="B21" s="83" t="str">
        <f>Projekts!B29</f>
        <v>1. Personāla izmaksas</v>
      </c>
      <c r="C21" s="45"/>
      <c r="D21" s="49" t="s">
        <v>162</v>
      </c>
      <c r="E21" s="72">
        <f>Projekts!D29</f>
        <v>-100000</v>
      </c>
      <c r="F21" s="72">
        <f>Projekts!E29</f>
        <v>-105000</v>
      </c>
      <c r="G21" s="72">
        <f>Projekts!F29</f>
        <v>-110250</v>
      </c>
      <c r="H21" s="72">
        <f>Projekts!G29</f>
        <v>-115762.5</v>
      </c>
      <c r="I21" s="72">
        <f>Projekts!H29</f>
        <v>-121550.625</v>
      </c>
      <c r="J21" s="72">
        <f>Projekts!I29</f>
        <v>-127628.15625</v>
      </c>
      <c r="K21" s="72">
        <f>Projekts!J29</f>
        <v>-134009.56406249999</v>
      </c>
      <c r="L21" s="72">
        <f>Projekts!K29</f>
        <v>-140710.042265625</v>
      </c>
      <c r="M21" s="72">
        <f>Projekts!L29</f>
        <v>-147745.54437890626</v>
      </c>
      <c r="N21" s="72">
        <f>Projekts!M29</f>
        <v>-155132.82159785158</v>
      </c>
      <c r="O21" s="72"/>
      <c r="P21" s="50"/>
      <c r="Q21" s="55">
        <f t="shared" si="1"/>
        <v>-1257789.2535548827</v>
      </c>
      <c r="R21" s="45"/>
      <c r="S21" s="45"/>
      <c r="T21" s="45"/>
      <c r="U21" s="45"/>
      <c r="V21" s="45"/>
      <c r="W21" s="45"/>
      <c r="X21" s="45"/>
      <c r="Y21" s="45"/>
      <c r="Z21" s="45"/>
    </row>
    <row r="22" spans="2:26" x14ac:dyDescent="0.25">
      <c r="B22" s="83" t="str">
        <f>Projekts!B30</f>
        <v>2. Ēdināšana</v>
      </c>
      <c r="C22" s="45"/>
      <c r="D22" s="49" t="s">
        <v>162</v>
      </c>
      <c r="E22" s="72">
        <f>Projekts!D30</f>
        <v>0</v>
      </c>
      <c r="F22" s="72">
        <f>Projekts!E30</f>
        <v>-223380</v>
      </c>
      <c r="G22" s="72">
        <f>Projekts!F30</f>
        <v>-335070</v>
      </c>
      <c r="H22" s="72">
        <f>Projekts!G30</f>
        <v>-335070</v>
      </c>
      <c r="I22" s="72">
        <f>Projekts!H30</f>
        <v>-335070</v>
      </c>
      <c r="J22" s="72">
        <f>Projekts!I30</f>
        <v>-335070</v>
      </c>
      <c r="K22" s="72">
        <f>Projekts!J30</f>
        <v>-335070</v>
      </c>
      <c r="L22" s="72">
        <f>Projekts!K30</f>
        <v>-335070</v>
      </c>
      <c r="M22" s="72">
        <f>Projekts!L30</f>
        <v>-335070</v>
      </c>
      <c r="N22" s="72">
        <f>Projekts!M30</f>
        <v>-335070</v>
      </c>
      <c r="O22" s="72"/>
      <c r="P22" s="50"/>
      <c r="Q22" s="55">
        <f t="shared" si="1"/>
        <v>-2903940</v>
      </c>
      <c r="R22" s="45"/>
      <c r="S22" s="45"/>
      <c r="T22" s="45"/>
      <c r="U22" s="45"/>
      <c r="V22" s="45"/>
      <c r="W22" s="45"/>
      <c r="X22" s="45"/>
      <c r="Y22" s="45"/>
      <c r="Z22" s="45"/>
    </row>
    <row r="23" spans="2:26" hidden="1" x14ac:dyDescent="0.25">
      <c r="B23" s="83"/>
      <c r="C23" s="45"/>
      <c r="D23" s="49" t="s">
        <v>162</v>
      </c>
      <c r="E23" s="72"/>
      <c r="F23" s="72"/>
      <c r="G23" s="72"/>
      <c r="H23" s="72"/>
      <c r="I23" s="72"/>
      <c r="J23" s="72"/>
      <c r="K23" s="72"/>
      <c r="L23" s="72"/>
      <c r="M23" s="72"/>
      <c r="N23" s="72"/>
      <c r="O23" s="72"/>
      <c r="P23" s="50"/>
      <c r="Q23" s="55">
        <f t="shared" si="1"/>
        <v>0</v>
      </c>
      <c r="R23" s="45"/>
      <c r="S23" s="45"/>
      <c r="T23" s="45"/>
      <c r="U23" s="45"/>
      <c r="V23" s="45"/>
      <c r="W23" s="45"/>
      <c r="X23" s="45"/>
      <c r="Y23" s="45"/>
      <c r="Z23" s="45"/>
    </row>
    <row r="24" spans="2:26" hidden="1" x14ac:dyDescent="0.25">
      <c r="B24" s="83"/>
      <c r="C24" s="45"/>
      <c r="D24" s="49" t="s">
        <v>162</v>
      </c>
      <c r="E24" s="72"/>
      <c r="F24" s="72"/>
      <c r="G24" s="72"/>
      <c r="H24" s="72"/>
      <c r="I24" s="72"/>
      <c r="J24" s="72"/>
      <c r="K24" s="72"/>
      <c r="L24" s="72"/>
      <c r="M24" s="72"/>
      <c r="N24" s="72"/>
      <c r="O24" s="72"/>
      <c r="P24" s="50"/>
      <c r="Q24" s="55">
        <f t="shared" si="1"/>
        <v>0</v>
      </c>
      <c r="R24" s="45"/>
      <c r="S24" s="45"/>
      <c r="T24" s="45"/>
      <c r="U24" s="45"/>
      <c r="V24" s="45"/>
      <c r="W24" s="45"/>
      <c r="X24" s="45"/>
      <c r="Y24" s="45"/>
      <c r="Z24" s="45"/>
    </row>
    <row r="25" spans="2:26" x14ac:dyDescent="0.25">
      <c r="B25" s="84" t="s">
        <v>153</v>
      </c>
      <c r="C25" s="45"/>
      <c r="D25" s="49"/>
      <c r="E25" s="55">
        <f>SUM(E26:E29)</f>
        <v>-71050</v>
      </c>
      <c r="F25" s="55">
        <f t="shared" ref="F25:O25" si="4">SUM(F26:F29)</f>
        <v>-74395</v>
      </c>
      <c r="G25" s="55">
        <f t="shared" si="4"/>
        <v>-75052.899999999994</v>
      </c>
      <c r="H25" s="55">
        <f t="shared" si="4"/>
        <v>-75723.957999999999</v>
      </c>
      <c r="I25" s="55">
        <f t="shared" si="4"/>
        <v>-76408.437160000001</v>
      </c>
      <c r="J25" s="55">
        <f t="shared" si="4"/>
        <v>-88356.605903200005</v>
      </c>
      <c r="K25" s="55">
        <f t="shared" si="4"/>
        <v>-89068.738021263998</v>
      </c>
      <c r="L25" s="55">
        <f t="shared" si="4"/>
        <v>-89795.112781689284</v>
      </c>
      <c r="M25" s="55">
        <f t="shared" si="4"/>
        <v>-90536.015037323072</v>
      </c>
      <c r="N25" s="55">
        <f t="shared" si="4"/>
        <v>-91291.735338069528</v>
      </c>
      <c r="O25" s="55">
        <f t="shared" si="4"/>
        <v>0</v>
      </c>
      <c r="P25" s="50"/>
      <c r="Q25" s="55">
        <f t="shared" si="1"/>
        <v>-821678.50224154582</v>
      </c>
      <c r="R25" s="45"/>
      <c r="S25" s="45"/>
      <c r="T25" s="45"/>
      <c r="U25" s="45"/>
      <c r="V25" s="45"/>
      <c r="W25" s="45"/>
      <c r="X25" s="45"/>
      <c r="Y25" s="45"/>
      <c r="Z25" s="45"/>
    </row>
    <row r="26" spans="2:26" x14ac:dyDescent="0.25">
      <c r="B26" s="83" t="str">
        <f>Projekts!B32</f>
        <v>1. Aktīvu nolietojums</v>
      </c>
      <c r="C26" s="45"/>
      <c r="D26" s="49" t="s">
        <v>162</v>
      </c>
      <c r="E26" s="72">
        <f>Projekts!D32</f>
        <v>-41500</v>
      </c>
      <c r="F26" s="72">
        <f>Projekts!E32</f>
        <v>-41500</v>
      </c>
      <c r="G26" s="72">
        <f>Projekts!F32</f>
        <v>-41500</v>
      </c>
      <c r="H26" s="72">
        <f>Projekts!G32</f>
        <v>-41500</v>
      </c>
      <c r="I26" s="72">
        <f>Projekts!H32</f>
        <v>-41500</v>
      </c>
      <c r="J26" s="72">
        <f>Projekts!I32</f>
        <v>-52750</v>
      </c>
      <c r="K26" s="72">
        <f>Projekts!J32</f>
        <v>-52750</v>
      </c>
      <c r="L26" s="72">
        <f>Projekts!K32</f>
        <v>-52750</v>
      </c>
      <c r="M26" s="72">
        <f>Projekts!L32</f>
        <v>-52750</v>
      </c>
      <c r="N26" s="72">
        <f>Projekts!M32</f>
        <v>-52750</v>
      </c>
      <c r="O26" s="72"/>
      <c r="P26" s="50"/>
      <c r="Q26" s="55">
        <f t="shared" si="1"/>
        <v>-471250</v>
      </c>
      <c r="R26" s="45"/>
      <c r="S26" s="45"/>
      <c r="T26" s="45"/>
      <c r="U26" s="45"/>
      <c r="V26" s="45"/>
      <c r="W26" s="45"/>
      <c r="X26" s="45"/>
      <c r="Y26" s="45"/>
      <c r="Z26" s="45"/>
    </row>
    <row r="27" spans="2:26" x14ac:dyDescent="0.25">
      <c r="B27" s="83" t="str">
        <f>Projekts!B35</f>
        <v>2. Ēku uzturēšana un remonti</v>
      </c>
      <c r="C27" s="45"/>
      <c r="D27" s="49" t="s">
        <v>162</v>
      </c>
      <c r="E27" s="72">
        <f>Projekts!D35</f>
        <v>-29550</v>
      </c>
      <c r="F27" s="72">
        <f>Projekts!E35</f>
        <v>-32895</v>
      </c>
      <c r="G27" s="72">
        <f>Projekts!F35</f>
        <v>-33552.9</v>
      </c>
      <c r="H27" s="72">
        <f>Projekts!G35</f>
        <v>-34223.957999999999</v>
      </c>
      <c r="I27" s="72">
        <f>Projekts!H35</f>
        <v>-34908.437160000001</v>
      </c>
      <c r="J27" s="72">
        <f>Projekts!I35</f>
        <v>-35606.605903200005</v>
      </c>
      <c r="K27" s="72">
        <f>Projekts!J35</f>
        <v>-36318.738021264006</v>
      </c>
      <c r="L27" s="72">
        <f>Projekts!K35</f>
        <v>-37045.112781689284</v>
      </c>
      <c r="M27" s="72">
        <f>Projekts!L35</f>
        <v>-37786.015037323072</v>
      </c>
      <c r="N27" s="72">
        <f>Projekts!M35</f>
        <v>-38541.735338069535</v>
      </c>
      <c r="O27" s="72"/>
      <c r="P27" s="50"/>
      <c r="Q27" s="55">
        <f t="shared" si="1"/>
        <v>-350428.50224154588</v>
      </c>
      <c r="R27" s="45"/>
      <c r="S27" s="45"/>
      <c r="T27" s="45"/>
      <c r="U27" s="45"/>
      <c r="V27" s="45"/>
      <c r="W27" s="45"/>
      <c r="X27" s="45"/>
      <c r="Y27" s="45"/>
      <c r="Z27" s="45"/>
    </row>
    <row r="28" spans="2:26" hidden="1" x14ac:dyDescent="0.25">
      <c r="B28" s="83"/>
      <c r="C28" s="45"/>
      <c r="D28" s="49" t="s">
        <v>162</v>
      </c>
      <c r="E28" s="72"/>
      <c r="F28" s="72"/>
      <c r="G28" s="72"/>
      <c r="H28" s="72"/>
      <c r="I28" s="72"/>
      <c r="J28" s="72"/>
      <c r="K28" s="72"/>
      <c r="L28" s="72"/>
      <c r="M28" s="72"/>
      <c r="N28" s="72"/>
      <c r="O28" s="72"/>
      <c r="P28" s="50"/>
      <c r="Q28" s="55">
        <f t="shared" si="1"/>
        <v>0</v>
      </c>
      <c r="R28" s="45"/>
      <c r="S28" s="45"/>
      <c r="T28" s="45"/>
      <c r="U28" s="45"/>
      <c r="V28" s="45"/>
      <c r="W28" s="45"/>
      <c r="X28" s="45"/>
      <c r="Y28" s="45"/>
      <c r="Z28" s="45"/>
    </row>
    <row r="29" spans="2:26" hidden="1" x14ac:dyDescent="0.25">
      <c r="B29" s="83"/>
      <c r="C29" s="45"/>
      <c r="D29" s="49" t="s">
        <v>162</v>
      </c>
      <c r="E29" s="72"/>
      <c r="F29" s="72"/>
      <c r="G29" s="72"/>
      <c r="H29" s="72"/>
      <c r="I29" s="72"/>
      <c r="J29" s="72"/>
      <c r="K29" s="72"/>
      <c r="L29" s="72"/>
      <c r="M29" s="72"/>
      <c r="N29" s="72"/>
      <c r="O29" s="72"/>
      <c r="P29" s="50"/>
      <c r="Q29" s="55">
        <f t="shared" si="1"/>
        <v>0</v>
      </c>
      <c r="R29" s="45"/>
      <c r="S29" s="45"/>
      <c r="T29" s="45"/>
      <c r="U29" s="45"/>
      <c r="V29" s="45"/>
      <c r="W29" s="45"/>
      <c r="X29" s="45"/>
      <c r="Y29" s="45"/>
      <c r="Z29" s="45"/>
    </row>
    <row r="30" spans="2:26" x14ac:dyDescent="0.25">
      <c r="B30" s="40"/>
      <c r="C30" s="45"/>
      <c r="D30" s="49"/>
      <c r="E30" s="50"/>
      <c r="F30" s="50"/>
      <c r="G30" s="50"/>
      <c r="H30" s="50"/>
      <c r="I30" s="50"/>
      <c r="J30" s="50"/>
      <c r="K30" s="50"/>
      <c r="L30" s="50"/>
      <c r="M30" s="50"/>
      <c r="N30" s="50"/>
      <c r="O30" s="50"/>
      <c r="P30" s="50"/>
      <c r="Q30" s="50"/>
      <c r="R30" s="45"/>
      <c r="S30" s="45"/>
      <c r="T30" s="45"/>
      <c r="U30" s="45"/>
      <c r="V30" s="45"/>
      <c r="W30" s="45"/>
      <c r="X30" s="45"/>
      <c r="Y30" s="45"/>
      <c r="Z30" s="45"/>
    </row>
    <row r="31" spans="2:26" x14ac:dyDescent="0.25">
      <c r="B31" s="62" t="s">
        <v>154</v>
      </c>
      <c r="C31" s="45"/>
      <c r="D31" s="49"/>
      <c r="E31" s="55">
        <f>SUM(E32:E35)</f>
        <v>0</v>
      </c>
      <c r="F31" s="55">
        <f t="shared" ref="F31:O31" si="5">SUM(F32:F35)</f>
        <v>621432.23393271607</v>
      </c>
      <c r="G31" s="55">
        <f t="shared" si="5"/>
        <v>646069.7363712712</v>
      </c>
      <c r="H31" s="55">
        <f t="shared" si="5"/>
        <v>649154.44799048442</v>
      </c>
      <c r="I31" s="55">
        <f t="shared" si="5"/>
        <v>652379.07048697909</v>
      </c>
      <c r="J31" s="55">
        <f t="shared" si="5"/>
        <v>655749.94969012239</v>
      </c>
      <c r="K31" s="55">
        <f t="shared" si="5"/>
        <v>659273.7192521519</v>
      </c>
      <c r="L31" s="55">
        <f t="shared" si="5"/>
        <v>662957.31370273523</v>
      </c>
      <c r="M31" s="55">
        <f t="shared" si="5"/>
        <v>666807.98209563491</v>
      </c>
      <c r="N31" s="55">
        <f t="shared" si="5"/>
        <v>1070833.3022743335</v>
      </c>
      <c r="O31" s="55">
        <f t="shared" si="5"/>
        <v>0</v>
      </c>
      <c r="P31" s="50"/>
      <c r="Q31" s="55">
        <f t="shared" si="1"/>
        <v>6284657.7557964288</v>
      </c>
      <c r="R31" s="45"/>
      <c r="S31" s="45"/>
      <c r="T31" s="45"/>
      <c r="U31" s="45"/>
      <c r="V31" s="45"/>
      <c r="W31" s="45"/>
      <c r="X31" s="45"/>
      <c r="Y31" s="45"/>
      <c r="Z31" s="45"/>
    </row>
    <row r="32" spans="2:26" x14ac:dyDescent="0.25">
      <c r="B32" s="87" t="s">
        <v>175</v>
      </c>
      <c r="C32" s="45"/>
      <c r="D32" s="49" t="s">
        <v>163</v>
      </c>
      <c r="E32" s="90">
        <f>E68</f>
        <v>0</v>
      </c>
      <c r="F32" s="90">
        <f t="shared" ref="F32:N32" si="6">F68</f>
        <v>578058.97152874945</v>
      </c>
      <c r="G32" s="90">
        <f t="shared" si="6"/>
        <v>578058.97152874945</v>
      </c>
      <c r="H32" s="90">
        <f t="shared" si="6"/>
        <v>578058.97152874945</v>
      </c>
      <c r="I32" s="90">
        <f t="shared" si="6"/>
        <v>578058.97152874945</v>
      </c>
      <c r="J32" s="90">
        <f t="shared" si="6"/>
        <v>578058.97152874945</v>
      </c>
      <c r="K32" s="90">
        <f t="shared" si="6"/>
        <v>578058.97152874945</v>
      </c>
      <c r="L32" s="90">
        <f t="shared" si="6"/>
        <v>578058.97152874945</v>
      </c>
      <c r="M32" s="90">
        <f t="shared" si="6"/>
        <v>578058.97152874945</v>
      </c>
      <c r="N32" s="90">
        <f t="shared" si="6"/>
        <v>978058.97152874945</v>
      </c>
      <c r="O32" s="90">
        <f t="shared" ref="O32" si="7">O49</f>
        <v>0</v>
      </c>
      <c r="P32" s="50"/>
      <c r="Q32" s="55">
        <f t="shared" si="1"/>
        <v>5602530.7437587455</v>
      </c>
      <c r="R32" s="45"/>
      <c r="S32" s="45"/>
      <c r="T32" s="45"/>
      <c r="U32" s="45"/>
      <c r="V32" s="45"/>
      <c r="W32" s="45"/>
      <c r="X32" s="45"/>
      <c r="Y32" s="45"/>
      <c r="Z32" s="45"/>
    </row>
    <row r="33" spans="2:26" x14ac:dyDescent="0.25">
      <c r="B33" s="83" t="str">
        <f>Projekts!B17</f>
        <v>Ieņēmumi no klientiem</v>
      </c>
      <c r="C33" s="45"/>
      <c r="D33" s="49" t="s">
        <v>163</v>
      </c>
      <c r="E33" s="72">
        <f>Projekts!D17</f>
        <v>0</v>
      </c>
      <c r="F33" s="72">
        <f>Projekts!E17</f>
        <v>34698.609923173339</v>
      </c>
      <c r="G33" s="72">
        <f>Projekts!F17</f>
        <v>54408.61187401745</v>
      </c>
      <c r="H33" s="72">
        <f>Projekts!G17</f>
        <v>56876.381169387969</v>
      </c>
      <c r="I33" s="72">
        <f>Projekts!H17</f>
        <v>59456.079166583768</v>
      </c>
      <c r="J33" s="72">
        <f>Projekts!I17</f>
        <v>62152.78252909836</v>
      </c>
      <c r="K33" s="72">
        <f>Projekts!J17</f>
        <v>64971.798178721947</v>
      </c>
      <c r="L33" s="72">
        <f>Projekts!K17</f>
        <v>67918.673739188642</v>
      </c>
      <c r="M33" s="72">
        <f>Projekts!L17</f>
        <v>70999.208453508341</v>
      </c>
      <c r="N33" s="72">
        <f>Projekts!M17</f>
        <v>74219.464596467398</v>
      </c>
      <c r="O33" s="72"/>
      <c r="P33" s="50"/>
      <c r="Q33" s="55">
        <f t="shared" si="1"/>
        <v>545701.60963014711</v>
      </c>
      <c r="R33" s="45"/>
      <c r="S33" s="45"/>
      <c r="T33" s="45"/>
      <c r="U33" s="45"/>
      <c r="V33" s="45"/>
      <c r="W33" s="45"/>
      <c r="X33" s="45"/>
      <c r="Y33" s="45"/>
      <c r="Z33" s="45"/>
    </row>
    <row r="34" spans="2:26" x14ac:dyDescent="0.25">
      <c r="B34" s="83" t="str">
        <f>Projekts!B18</f>
        <v>Pašvaldību līdzmaksājums</v>
      </c>
      <c r="C34" s="45"/>
      <c r="D34" s="49" t="s">
        <v>163</v>
      </c>
      <c r="E34" s="72">
        <f>Projekts!D18</f>
        <v>0</v>
      </c>
      <c r="F34" s="72">
        <f>Projekts!E18</f>
        <v>8674.6524807933347</v>
      </c>
      <c r="G34" s="72">
        <f>Projekts!F18</f>
        <v>13602.152968504362</v>
      </c>
      <c r="H34" s="72">
        <f>Projekts!G18</f>
        <v>14219.095292346992</v>
      </c>
      <c r="I34" s="72">
        <f>Projekts!H18</f>
        <v>14864.019791645942</v>
      </c>
      <c r="J34" s="72">
        <f>Projekts!I18</f>
        <v>15538.19563227459</v>
      </c>
      <c r="K34" s="72">
        <f>Projekts!J18</f>
        <v>16242.949544680487</v>
      </c>
      <c r="L34" s="72">
        <f>Projekts!K18</f>
        <v>16979.66843479716</v>
      </c>
      <c r="M34" s="72">
        <f>Projekts!L18</f>
        <v>17749.802113377085</v>
      </c>
      <c r="N34" s="72">
        <f>Projekts!M18</f>
        <v>18554.86614911685</v>
      </c>
      <c r="O34" s="72"/>
      <c r="P34" s="50"/>
      <c r="Q34" s="55">
        <f t="shared" si="1"/>
        <v>136425.40240753678</v>
      </c>
      <c r="R34" s="45"/>
      <c r="S34" s="45"/>
      <c r="T34" s="45"/>
      <c r="U34" s="45"/>
      <c r="V34" s="45"/>
      <c r="W34" s="45"/>
      <c r="X34" s="45"/>
      <c r="Y34" s="45"/>
      <c r="Z34" s="45"/>
    </row>
    <row r="35" spans="2:26" hidden="1" x14ac:dyDescent="0.25">
      <c r="B35" s="83"/>
      <c r="C35" s="45"/>
      <c r="D35" s="49" t="s">
        <v>163</v>
      </c>
      <c r="E35" s="72"/>
      <c r="F35" s="72"/>
      <c r="G35" s="72"/>
      <c r="H35" s="72"/>
      <c r="I35" s="72"/>
      <c r="J35" s="72"/>
      <c r="K35" s="72"/>
      <c r="L35" s="72"/>
      <c r="M35" s="72"/>
      <c r="N35" s="72"/>
      <c r="O35" s="72"/>
      <c r="P35" s="50"/>
      <c r="Q35" s="55">
        <f t="shared" si="1"/>
        <v>0</v>
      </c>
      <c r="R35" s="45"/>
      <c r="S35" s="45"/>
      <c r="T35" s="45"/>
      <c r="U35" s="45"/>
      <c r="V35" s="45"/>
      <c r="W35" s="45"/>
      <c r="X35" s="45"/>
      <c r="Y35" s="45"/>
      <c r="Z35" s="45"/>
    </row>
    <row r="36" spans="2:26" x14ac:dyDescent="0.25">
      <c r="B36" s="40"/>
      <c r="C36" s="45"/>
      <c r="D36" s="45"/>
      <c r="E36" s="50"/>
      <c r="F36" s="50"/>
      <c r="G36" s="50"/>
      <c r="H36" s="50"/>
      <c r="I36" s="50"/>
      <c r="J36" s="50"/>
      <c r="K36" s="50"/>
      <c r="L36" s="50"/>
      <c r="M36" s="50"/>
      <c r="N36" s="50"/>
      <c r="O36" s="50"/>
      <c r="P36" s="50"/>
      <c r="Q36" s="50"/>
      <c r="R36" s="45"/>
      <c r="S36" s="45"/>
      <c r="T36" s="45"/>
      <c r="U36" s="45"/>
      <c r="V36" s="45"/>
      <c r="W36" s="45"/>
      <c r="X36" s="45"/>
      <c r="Y36" s="45"/>
      <c r="Z36" s="45"/>
    </row>
    <row r="37" spans="2:26" x14ac:dyDescent="0.25">
      <c r="B37" s="62" t="s">
        <v>197</v>
      </c>
      <c r="C37" s="45"/>
      <c r="D37" s="45"/>
      <c r="E37" s="55">
        <f>E13+E19+E31</f>
        <v>-922050</v>
      </c>
      <c r="F37" s="55">
        <f t="shared" ref="F37:O37" si="8">F13+F19+F31</f>
        <v>124657.23393271607</v>
      </c>
      <c r="G37" s="55">
        <f t="shared" si="8"/>
        <v>125696.83637127117</v>
      </c>
      <c r="H37" s="55">
        <f t="shared" si="8"/>
        <v>122597.98999048444</v>
      </c>
      <c r="I37" s="55">
        <f t="shared" si="8"/>
        <v>119350.00832697912</v>
      </c>
      <c r="J37" s="55">
        <f t="shared" si="8"/>
        <v>48445.1875369224</v>
      </c>
      <c r="K37" s="55">
        <f t="shared" si="8"/>
        <v>101125.41716838791</v>
      </c>
      <c r="L37" s="55">
        <f t="shared" si="8"/>
        <v>97382.158655420993</v>
      </c>
      <c r="M37" s="55">
        <f t="shared" si="8"/>
        <v>93456.422679405543</v>
      </c>
      <c r="N37" s="55">
        <f t="shared" si="8"/>
        <v>489338.74533841247</v>
      </c>
      <c r="O37" s="55">
        <f t="shared" si="8"/>
        <v>0</v>
      </c>
      <c r="P37" s="50"/>
      <c r="Q37" s="55">
        <f>SUM(E37:O37)</f>
        <v>400000.00000000012</v>
      </c>
      <c r="R37" s="45"/>
      <c r="S37" s="45"/>
      <c r="T37" s="45"/>
      <c r="U37" s="45"/>
      <c r="V37" s="45"/>
      <c r="W37" s="45"/>
      <c r="X37" s="45"/>
      <c r="Y37" s="45"/>
      <c r="Z37" s="45"/>
    </row>
    <row r="38" spans="2:26" x14ac:dyDescent="0.25">
      <c r="B38" s="40"/>
      <c r="C38" s="45"/>
      <c r="D38" s="45"/>
      <c r="E38" s="45"/>
      <c r="F38" s="45"/>
      <c r="G38" s="45"/>
      <c r="H38" s="45"/>
      <c r="I38" s="45"/>
      <c r="J38" s="45"/>
      <c r="K38" s="45"/>
      <c r="L38" s="45"/>
      <c r="M38" s="45"/>
      <c r="N38" s="45"/>
      <c r="O38" s="45"/>
      <c r="P38" s="45"/>
      <c r="Q38" s="247">
        <f>Q13+Q19+Q33+Q34</f>
        <v>-5202530.7437587446</v>
      </c>
      <c r="R38" s="45"/>
      <c r="S38" s="45"/>
      <c r="T38" s="45"/>
      <c r="U38" s="45"/>
      <c r="V38" s="45"/>
      <c r="W38" s="45"/>
      <c r="X38" s="45"/>
      <c r="Y38" s="45"/>
      <c r="Z38" s="45"/>
    </row>
    <row r="39" spans="2:26" x14ac:dyDescent="0.25">
      <c r="B39" s="52" t="s">
        <v>174</v>
      </c>
      <c r="C39" s="45"/>
      <c r="D39" s="45"/>
      <c r="E39" s="241">
        <f>IRR(E37:N37,80%)</f>
        <v>6.5323165606158584E-2</v>
      </c>
      <c r="F39" s="45"/>
      <c r="G39" s="45"/>
      <c r="H39" s="45"/>
      <c r="I39" s="45"/>
      <c r="J39" s="45"/>
      <c r="K39" s="45"/>
      <c r="L39" s="45"/>
      <c r="M39" s="45"/>
      <c r="N39" s="45"/>
      <c r="O39" s="45"/>
      <c r="P39" s="45"/>
      <c r="Q39" s="50"/>
      <c r="R39" s="45"/>
      <c r="S39" s="45"/>
      <c r="T39" s="45"/>
      <c r="U39" s="45"/>
      <c r="V39" s="45"/>
      <c r="W39" s="45"/>
      <c r="X39" s="45"/>
      <c r="Y39" s="45"/>
      <c r="Z39" s="45"/>
    </row>
    <row r="40" spans="2:26" x14ac:dyDescent="0.25">
      <c r="B40" s="40"/>
      <c r="C40" s="45"/>
      <c r="D40" s="45"/>
      <c r="E40" s="45"/>
      <c r="F40" s="45"/>
      <c r="G40" s="45"/>
      <c r="H40" s="45"/>
      <c r="I40" s="45"/>
      <c r="J40" s="45"/>
      <c r="K40" s="45"/>
      <c r="L40" s="45"/>
      <c r="M40" s="45"/>
      <c r="N40" s="45"/>
      <c r="O40" s="45"/>
      <c r="P40" s="45"/>
      <c r="Q40" s="50"/>
      <c r="R40" s="45"/>
      <c r="S40" s="45"/>
      <c r="T40" s="45"/>
      <c r="U40" s="45"/>
      <c r="V40" s="45"/>
      <c r="W40" s="45"/>
      <c r="X40" s="45"/>
      <c r="Y40" s="45"/>
      <c r="Z40" s="45"/>
    </row>
    <row r="41" spans="2:26" x14ac:dyDescent="0.25">
      <c r="B41" s="56" t="s">
        <v>159</v>
      </c>
      <c r="C41" s="57"/>
      <c r="D41" s="57"/>
      <c r="E41" s="81">
        <f>IFERROR(1/((1+$E$6+E10)^E9),"-")</f>
        <v>0.94339622641509424</v>
      </c>
      <c r="F41" s="81">
        <f t="shared" ref="F41:O41" si="9">IFERROR(1/((1+$E$6+F10)^F9),"-")</f>
        <v>0.88999644001423983</v>
      </c>
      <c r="G41" s="81">
        <f t="shared" si="9"/>
        <v>0.8396192830323016</v>
      </c>
      <c r="H41" s="81">
        <f t="shared" si="9"/>
        <v>0.79209366323802044</v>
      </c>
      <c r="I41" s="81">
        <f t="shared" si="9"/>
        <v>0.74725817286605689</v>
      </c>
      <c r="J41" s="81">
        <f t="shared" si="9"/>
        <v>0.70496054043967626</v>
      </c>
      <c r="K41" s="81">
        <f t="shared" si="9"/>
        <v>0.66505711362233599</v>
      </c>
      <c r="L41" s="81">
        <f t="shared" si="9"/>
        <v>0.62741237134182648</v>
      </c>
      <c r="M41" s="81">
        <f t="shared" si="9"/>
        <v>0.59189846353002495</v>
      </c>
      <c r="N41" s="81">
        <f t="shared" si="9"/>
        <v>0.55839477691511785</v>
      </c>
      <c r="O41" s="81" t="str">
        <f t="shared" si="9"/>
        <v>-</v>
      </c>
      <c r="P41" s="45"/>
      <c r="Q41" s="50"/>
      <c r="R41" s="45"/>
      <c r="S41" s="45"/>
      <c r="T41" s="45"/>
      <c r="U41" s="45"/>
      <c r="V41" s="45"/>
      <c r="W41" s="45"/>
      <c r="X41" s="45"/>
      <c r="Y41" s="45"/>
      <c r="Z41" s="45"/>
    </row>
    <row r="42" spans="2:26" x14ac:dyDescent="0.25">
      <c r="B42" s="56" t="s">
        <v>160</v>
      </c>
      <c r="C42" s="57"/>
      <c r="D42" s="57"/>
      <c r="E42" s="82">
        <f>IFERROR(E37*E41,"-")</f>
        <v>-869858.4905660376</v>
      </c>
      <c r="F42" s="82">
        <f t="shared" ref="F42:O42" si="10">IFERROR(F37*F41,"-")</f>
        <v>110944.4944221396</v>
      </c>
      <c r="G42" s="82">
        <f t="shared" si="10"/>
        <v>105537.48763347523</v>
      </c>
      <c r="H42" s="82">
        <f t="shared" si="10"/>
        <v>97109.090997180974</v>
      </c>
      <c r="I42" s="82">
        <f t="shared" si="10"/>
        <v>89185.269153967092</v>
      </c>
      <c r="J42" s="82">
        <f t="shared" si="10"/>
        <v>34151.945587730283</v>
      </c>
      <c r="K42" s="82">
        <f t="shared" si="10"/>
        <v>67254.178055862692</v>
      </c>
      <c r="L42" s="82">
        <f t="shared" si="10"/>
        <v>61098.771088383655</v>
      </c>
      <c r="M42" s="82">
        <f t="shared" si="10"/>
        <v>55316.712990952721</v>
      </c>
      <c r="N42" s="82">
        <f t="shared" si="10"/>
        <v>273244.19953916647</v>
      </c>
      <c r="O42" s="82" t="str">
        <f t="shared" si="10"/>
        <v>-</v>
      </c>
      <c r="P42" s="50"/>
      <c r="Q42" s="55">
        <f t="shared" si="1"/>
        <v>23983.658902821131</v>
      </c>
      <c r="R42" s="45"/>
      <c r="S42" s="45"/>
      <c r="T42" s="45"/>
      <c r="U42" s="45"/>
      <c r="V42" s="45"/>
      <c r="W42" s="45"/>
      <c r="X42" s="45"/>
      <c r="Y42" s="45"/>
      <c r="Z42" s="45"/>
    </row>
    <row r="43" spans="2:26" x14ac:dyDescent="0.25">
      <c r="B43" s="40"/>
      <c r="C43" s="45"/>
      <c r="D43" s="45"/>
      <c r="E43" s="50"/>
      <c r="F43" s="50"/>
      <c r="G43" s="50"/>
      <c r="H43" s="50"/>
      <c r="I43" s="50"/>
      <c r="J43" s="50"/>
      <c r="K43" s="50"/>
      <c r="L43" s="50"/>
      <c r="M43" s="50"/>
      <c r="N43" s="50"/>
      <c r="O43" s="50"/>
      <c r="P43" s="50"/>
      <c r="Q43" s="50"/>
      <c r="R43" s="45"/>
      <c r="S43" s="45"/>
      <c r="T43" s="45"/>
      <c r="U43" s="45"/>
      <c r="V43" s="45"/>
      <c r="W43" s="45"/>
      <c r="X43" s="45"/>
      <c r="Y43" s="45"/>
      <c r="Z43" s="45"/>
    </row>
    <row r="44" spans="2:26" x14ac:dyDescent="0.25">
      <c r="B44" s="52" t="s">
        <v>198</v>
      </c>
      <c r="C44" s="45"/>
      <c r="D44" s="45"/>
      <c r="E44" s="60">
        <f>SUM(E42:O42)</f>
        <v>23983.658902821131</v>
      </c>
      <c r="F44" s="50"/>
      <c r="G44" s="50"/>
      <c r="H44" s="50"/>
      <c r="I44" s="50"/>
      <c r="J44" s="50"/>
      <c r="K44" s="50"/>
      <c r="L44" s="50"/>
      <c r="M44" s="50"/>
      <c r="N44" s="50"/>
      <c r="O44" s="50"/>
      <c r="P44" s="50"/>
      <c r="Q44" s="50"/>
      <c r="R44" s="45"/>
      <c r="S44" s="45"/>
      <c r="T44" s="45"/>
      <c r="U44" s="45"/>
      <c r="V44" s="45"/>
      <c r="W44" s="45"/>
      <c r="X44" s="45"/>
      <c r="Y44" s="45"/>
      <c r="Z44" s="45"/>
    </row>
    <row r="45" spans="2:26" s="76" customFormat="1" ht="4.2" x14ac:dyDescent="0.15">
      <c r="B45" s="73"/>
      <c r="C45" s="74"/>
      <c r="D45" s="74"/>
      <c r="E45" s="75"/>
      <c r="F45" s="86"/>
      <c r="G45" s="86"/>
      <c r="H45" s="86"/>
      <c r="I45" s="86"/>
      <c r="J45" s="86"/>
      <c r="K45" s="86"/>
      <c r="L45" s="86"/>
      <c r="M45" s="86"/>
      <c r="N45" s="86"/>
      <c r="O45" s="86"/>
      <c r="P45" s="86"/>
      <c r="Q45" s="86"/>
      <c r="R45" s="74"/>
      <c r="S45" s="74"/>
      <c r="T45" s="74"/>
      <c r="U45" s="74"/>
      <c r="V45" s="74"/>
      <c r="W45" s="74"/>
      <c r="X45" s="74"/>
      <c r="Y45" s="74"/>
      <c r="Z45" s="74"/>
    </row>
    <row r="46" spans="2:26" x14ac:dyDescent="0.25">
      <c r="B46" s="78"/>
      <c r="C46" s="79"/>
      <c r="D46" s="79"/>
      <c r="E46" s="80"/>
      <c r="F46" s="171"/>
      <c r="G46" s="171"/>
      <c r="H46" s="171"/>
      <c r="I46" s="171"/>
      <c r="J46" s="171"/>
      <c r="K46" s="171"/>
      <c r="L46" s="171"/>
      <c r="M46" s="171"/>
      <c r="N46" s="171"/>
      <c r="O46" s="171"/>
      <c r="P46" s="50"/>
      <c r="Q46" s="50"/>
      <c r="R46" s="45"/>
      <c r="S46" s="45"/>
      <c r="T46" s="45"/>
      <c r="U46" s="45"/>
      <c r="V46" s="45"/>
      <c r="W46" s="45"/>
      <c r="X46" s="45"/>
      <c r="Y46" s="45"/>
      <c r="Z46" s="45"/>
    </row>
    <row r="47" spans="2:26" s="76" customFormat="1" ht="4.2" x14ac:dyDescent="0.15">
      <c r="B47" s="73"/>
      <c r="C47" s="74"/>
      <c r="D47" s="74"/>
      <c r="E47" s="77"/>
      <c r="F47" s="86"/>
      <c r="G47" s="86"/>
      <c r="H47" s="86"/>
      <c r="I47" s="86"/>
      <c r="J47" s="86"/>
      <c r="K47" s="86"/>
      <c r="L47" s="86"/>
      <c r="M47" s="86"/>
      <c r="N47" s="86"/>
      <c r="O47" s="86"/>
      <c r="P47" s="86"/>
      <c r="Q47" s="86"/>
      <c r="R47" s="74"/>
      <c r="S47" s="74"/>
      <c r="T47" s="74"/>
      <c r="U47" s="74"/>
      <c r="V47" s="74"/>
      <c r="W47" s="74"/>
      <c r="X47" s="74"/>
      <c r="Y47" s="74"/>
      <c r="Z47" s="74"/>
    </row>
    <row r="48" spans="2:26" x14ac:dyDescent="0.25">
      <c r="B48" s="47" t="s">
        <v>149</v>
      </c>
      <c r="C48" s="45"/>
      <c r="D48" s="45"/>
      <c r="E48" s="70"/>
      <c r="F48" s="50"/>
      <c r="G48" s="50"/>
      <c r="H48" s="50"/>
      <c r="I48" s="50"/>
      <c r="J48" s="50"/>
      <c r="K48" s="50"/>
      <c r="L48" s="50"/>
      <c r="M48" s="50"/>
      <c r="N48" s="50"/>
      <c r="O48" s="50"/>
      <c r="P48" s="50"/>
      <c r="Q48" s="50"/>
      <c r="R48" s="45"/>
      <c r="S48" s="45"/>
      <c r="T48" s="45"/>
      <c r="U48" s="45"/>
      <c r="V48" s="45"/>
      <c r="W48" s="45"/>
      <c r="X48" s="45"/>
      <c r="Y48" s="45"/>
      <c r="Z48" s="45"/>
    </row>
    <row r="49" spans="2:26" x14ac:dyDescent="0.25">
      <c r="B49" s="71" t="s">
        <v>176</v>
      </c>
      <c r="C49" s="45"/>
      <c r="D49" s="48" t="s">
        <v>162</v>
      </c>
      <c r="E49" s="72">
        <f>-E68</f>
        <v>0</v>
      </c>
      <c r="F49" s="72">
        <f>-F68</f>
        <v>-578058.97152874945</v>
      </c>
      <c r="G49" s="72">
        <f t="shared" ref="G49:N49" si="11">-G68</f>
        <v>-578058.97152874945</v>
      </c>
      <c r="H49" s="72">
        <f t="shared" si="11"/>
        <v>-578058.97152874945</v>
      </c>
      <c r="I49" s="72">
        <f t="shared" si="11"/>
        <v>-578058.97152874945</v>
      </c>
      <c r="J49" s="72">
        <f t="shared" si="11"/>
        <v>-578058.97152874945</v>
      </c>
      <c r="K49" s="72">
        <f t="shared" si="11"/>
        <v>-578058.97152874945</v>
      </c>
      <c r="L49" s="72">
        <f t="shared" si="11"/>
        <v>-578058.97152874945</v>
      </c>
      <c r="M49" s="72">
        <f t="shared" si="11"/>
        <v>-578058.97152874945</v>
      </c>
      <c r="N49" s="72">
        <f t="shared" si="11"/>
        <v>-978058.97152874945</v>
      </c>
      <c r="O49" s="72"/>
      <c r="P49" s="50"/>
      <c r="Q49" s="55">
        <f t="shared" si="1"/>
        <v>-5602530.7437587455</v>
      </c>
      <c r="R49" s="45"/>
      <c r="S49" s="45"/>
      <c r="T49" s="45"/>
      <c r="U49" s="45"/>
      <c r="V49" s="45"/>
      <c r="W49" s="45"/>
      <c r="X49" s="45"/>
      <c r="Y49" s="45"/>
      <c r="Z49" s="45"/>
    </row>
    <row r="50" spans="2:26" x14ac:dyDescent="0.25">
      <c r="B50" s="56" t="s">
        <v>195</v>
      </c>
      <c r="C50" s="45"/>
      <c r="D50" s="45"/>
      <c r="E50" s="100">
        <f>IFERROR(E49*E41,"-")</f>
        <v>0</v>
      </c>
      <c r="F50" s="100">
        <f>IFERROR(F49*F41,"-")</f>
        <v>-514470.42677887983</v>
      </c>
      <c r="G50" s="100">
        <f t="shared" ref="G50:O50" si="12">IFERROR(G49*G41,"-")</f>
        <v>-485349.45922535827</v>
      </c>
      <c r="H50" s="100">
        <f t="shared" si="12"/>
        <v>-457876.8483258097</v>
      </c>
      <c r="I50" s="100">
        <f t="shared" si="12"/>
        <v>-431959.29087340529</v>
      </c>
      <c r="J50" s="100">
        <f t="shared" si="12"/>
        <v>-407508.76497491065</v>
      </c>
      <c r="K50" s="100">
        <f t="shared" si="12"/>
        <v>-384442.23110840621</v>
      </c>
      <c r="L50" s="100">
        <f t="shared" si="12"/>
        <v>-362681.35010227002</v>
      </c>
      <c r="M50" s="100">
        <f t="shared" si="12"/>
        <v>-342152.21707761323</v>
      </c>
      <c r="N50" s="100">
        <f t="shared" si="12"/>
        <v>-546143.0212166257</v>
      </c>
      <c r="O50" s="100" t="str">
        <f t="shared" si="12"/>
        <v>-</v>
      </c>
      <c r="P50" s="50"/>
      <c r="Q50" s="55">
        <f>SUM(E50:O50)</f>
        <v>-3932583.6096832789</v>
      </c>
      <c r="R50" s="45"/>
      <c r="S50" s="45"/>
      <c r="T50" s="45"/>
      <c r="U50" s="45"/>
      <c r="V50" s="45"/>
      <c r="W50" s="45"/>
      <c r="X50" s="45"/>
      <c r="Y50" s="45"/>
      <c r="Z50" s="45"/>
    </row>
    <row r="51" spans="2:26" x14ac:dyDescent="0.25">
      <c r="B51" s="96"/>
      <c r="C51" s="45"/>
      <c r="D51" s="45"/>
      <c r="E51" s="95"/>
      <c r="F51" s="95"/>
      <c r="G51" s="95"/>
      <c r="H51" s="95"/>
      <c r="I51" s="95"/>
      <c r="J51" s="95"/>
      <c r="K51" s="95"/>
      <c r="L51" s="95"/>
      <c r="M51" s="95"/>
      <c r="N51" s="95"/>
      <c r="O51" s="95"/>
      <c r="P51" s="50"/>
      <c r="Q51" s="50"/>
      <c r="R51" s="45"/>
      <c r="S51" s="45"/>
      <c r="T51" s="45"/>
      <c r="U51" s="45"/>
      <c r="V51" s="45"/>
      <c r="W51" s="45"/>
      <c r="X51" s="45"/>
      <c r="Y51" s="45"/>
      <c r="Z51" s="45"/>
    </row>
    <row r="52" spans="2:26" x14ac:dyDescent="0.25">
      <c r="B52" s="52" t="s">
        <v>164</v>
      </c>
      <c r="C52" s="45"/>
      <c r="D52" s="45"/>
      <c r="E52" s="60">
        <f>SUM(E50:O50)</f>
        <v>-3932583.6096832789</v>
      </c>
      <c r="F52" s="170" t="s">
        <v>217</v>
      </c>
      <c r="G52" s="50"/>
      <c r="H52" s="50"/>
      <c r="I52" s="50"/>
      <c r="J52" s="50"/>
      <c r="K52" s="50"/>
      <c r="L52" s="50"/>
      <c r="M52" s="50"/>
      <c r="N52" s="50"/>
      <c r="O52" s="50"/>
      <c r="P52" s="50"/>
      <c r="Q52" s="50"/>
      <c r="R52" s="45"/>
      <c r="S52" s="45"/>
      <c r="T52" s="45"/>
      <c r="U52" s="45"/>
      <c r="V52" s="45"/>
      <c r="W52" s="45"/>
      <c r="X52" s="45"/>
      <c r="Y52" s="45"/>
      <c r="Z52" s="45"/>
    </row>
    <row r="53" spans="2:26" x14ac:dyDescent="0.25">
      <c r="B53" s="47"/>
      <c r="C53" s="45"/>
      <c r="D53" s="45"/>
      <c r="E53" s="70"/>
      <c r="F53" s="50"/>
      <c r="G53" s="50"/>
      <c r="H53" s="50"/>
      <c r="I53" s="50"/>
      <c r="J53" s="50"/>
      <c r="K53" s="50"/>
      <c r="L53" s="50"/>
      <c r="M53" s="50"/>
      <c r="N53" s="50"/>
      <c r="O53" s="50"/>
      <c r="P53" s="50"/>
      <c r="Q53" s="50"/>
      <c r="R53" s="45"/>
      <c r="S53" s="45"/>
      <c r="T53" s="45"/>
      <c r="U53" s="45"/>
      <c r="V53" s="45"/>
      <c r="W53" s="45"/>
      <c r="X53" s="45"/>
      <c r="Y53" s="45"/>
      <c r="Z53" s="45"/>
    </row>
    <row r="54" spans="2:26" x14ac:dyDescent="0.25">
      <c r="B54" s="62" t="s">
        <v>166</v>
      </c>
      <c r="C54" s="45"/>
      <c r="D54" s="45"/>
      <c r="E54" s="55">
        <f>SUM(E55:E57)</f>
        <v>0</v>
      </c>
      <c r="F54" s="55">
        <f t="shared" ref="F54:O54" si="13">SUM(F55:F57)</f>
        <v>-1297.2694412634953</v>
      </c>
      <c r="G54" s="55">
        <f t="shared" si="13"/>
        <v>-1623.7163485743508</v>
      </c>
      <c r="H54" s="55">
        <f t="shared" si="13"/>
        <v>-1664.5887775289252</v>
      </c>
      <c r="I54" s="55">
        <f t="shared" si="13"/>
        <v>-1707.3150256074805</v>
      </c>
      <c r="J54" s="55">
        <f t="shared" si="13"/>
        <v>-1751.9791750491286</v>
      </c>
      <c r="K54" s="55">
        <f t="shared" si="13"/>
        <v>-1798.6691217460193</v>
      </c>
      <c r="L54" s="55">
        <f t="shared" si="13"/>
        <v>-1847.4767482162488</v>
      </c>
      <c r="M54" s="55">
        <f t="shared" si="13"/>
        <v>-1898.498104422169</v>
      </c>
      <c r="N54" s="55">
        <f t="shared" si="13"/>
        <v>-2451.8335967899284</v>
      </c>
      <c r="O54" s="55">
        <f t="shared" si="13"/>
        <v>0</v>
      </c>
      <c r="P54" s="50"/>
      <c r="Q54" s="55">
        <f t="shared" si="1"/>
        <v>-16041.346339197746</v>
      </c>
      <c r="R54" s="45"/>
      <c r="S54" s="45"/>
      <c r="T54" s="45"/>
      <c r="U54" s="45"/>
      <c r="V54" s="45"/>
      <c r="W54" s="45"/>
      <c r="X54" s="45"/>
      <c r="Y54" s="45"/>
      <c r="Z54" s="45"/>
    </row>
    <row r="55" spans="2:26" x14ac:dyDescent="0.25">
      <c r="B55" s="56" t="s">
        <v>129</v>
      </c>
      <c r="C55" s="57"/>
      <c r="D55" s="58" t="s">
        <v>162</v>
      </c>
      <c r="E55" s="72">
        <f>E13*'Risku analīze'!$E$107+NPV_PPP_partnerība!E14*'Risku analīze'!$E$108</f>
        <v>0</v>
      </c>
      <c r="F55" s="72">
        <f>F13*'Risku analīze'!$E$107+NPV_PPP_partnerība!F14*'Risku analīze'!$E$108</f>
        <v>0</v>
      </c>
      <c r="G55" s="72">
        <f>G13*'Risku analīze'!$E$107+NPV_PPP_partnerība!G14*'Risku analīze'!$E$108</f>
        <v>0</v>
      </c>
      <c r="H55" s="72">
        <f>H13*'Risku analīze'!$E$107+NPV_PPP_partnerība!H14*'Risku analīze'!$E$108</f>
        <v>0</v>
      </c>
      <c r="I55" s="72">
        <f>I13*'Risku analīze'!$E$107+NPV_PPP_partnerība!I14*'Risku analīze'!$E$108</f>
        <v>0</v>
      </c>
      <c r="J55" s="72">
        <f>J13*'Risku analīze'!$E$107+NPV_PPP_partnerība!J14*'Risku analīze'!$E$108</f>
        <v>0</v>
      </c>
      <c r="K55" s="72">
        <f>K13*'Risku analīze'!$E$107+NPV_PPP_partnerība!K14*'Risku analīze'!$E$108</f>
        <v>0</v>
      </c>
      <c r="L55" s="72">
        <f>L13*'Risku analīze'!$E$107+NPV_PPP_partnerība!L14*'Risku analīze'!$E$108</f>
        <v>0</v>
      </c>
      <c r="M55" s="72">
        <f>M13*'Risku analīze'!$E$107+NPV_PPP_partnerība!M14*'Risku analīze'!$E$108</f>
        <v>0</v>
      </c>
      <c r="N55" s="72">
        <f>N13*'Risku analīze'!$E$107+NPV_PPP_partnerība!N14*'Risku analīze'!$E$108</f>
        <v>0</v>
      </c>
      <c r="O55" s="72"/>
      <c r="P55" s="50"/>
      <c r="Q55" s="55">
        <f t="shared" si="1"/>
        <v>0</v>
      </c>
      <c r="R55" s="45"/>
      <c r="S55" s="45"/>
      <c r="T55" s="45"/>
      <c r="U55" s="45"/>
      <c r="V55" s="45"/>
      <c r="W55" s="45"/>
      <c r="X55" s="45"/>
      <c r="Y55" s="45"/>
      <c r="Z55" s="45"/>
    </row>
    <row r="56" spans="2:26" x14ac:dyDescent="0.25">
      <c r="B56" s="56" t="s">
        <v>130</v>
      </c>
      <c r="C56" s="57"/>
      <c r="D56" s="58" t="s">
        <v>162</v>
      </c>
      <c r="E56" s="72">
        <f>-E31*'Risku analīze'!$E$110</f>
        <v>0</v>
      </c>
      <c r="F56" s="72">
        <f>-F31*'Risku analīze'!$E$110</f>
        <v>-776.79029241589524</v>
      </c>
      <c r="G56" s="72">
        <f>-G31*'Risku analīze'!$E$110</f>
        <v>-807.58717046408913</v>
      </c>
      <c r="H56" s="72">
        <f>-H31*'Risku analīze'!$E$110</f>
        <v>-811.44305998810569</v>
      </c>
      <c r="I56" s="72">
        <f>-I31*'Risku analīze'!$E$110</f>
        <v>-815.47383810872407</v>
      </c>
      <c r="J56" s="72">
        <f>-J31*'Risku analīze'!$E$110</f>
        <v>-819.68743711265313</v>
      </c>
      <c r="K56" s="72">
        <f>-K31*'Risku analīze'!$E$110</f>
        <v>-824.09214906519003</v>
      </c>
      <c r="L56" s="72">
        <f>-L31*'Risku analīze'!$E$110</f>
        <v>-828.69664212841917</v>
      </c>
      <c r="M56" s="72">
        <f>-M31*'Risku analīze'!$E$110</f>
        <v>-833.50997761954386</v>
      </c>
      <c r="N56" s="72">
        <f>-N31*'Risku analīze'!$E$110</f>
        <v>-1338.5416278429173</v>
      </c>
      <c r="O56" s="72"/>
      <c r="P56" s="50"/>
      <c r="Q56" s="55">
        <f t="shared" si="1"/>
        <v>-7855.8221947455377</v>
      </c>
      <c r="R56" s="45"/>
      <c r="S56" s="45"/>
      <c r="T56" s="45"/>
      <c r="U56" s="45"/>
      <c r="V56" s="45"/>
      <c r="W56" s="45"/>
      <c r="X56" s="45"/>
      <c r="Y56" s="45"/>
      <c r="Z56" s="45"/>
    </row>
    <row r="57" spans="2:26" x14ac:dyDescent="0.25">
      <c r="B57" s="56" t="s">
        <v>131</v>
      </c>
      <c r="C57" s="57"/>
      <c r="D57" s="58" t="s">
        <v>162</v>
      </c>
      <c r="E57" s="72">
        <f>-E33*'Risku analīze'!$E$113</f>
        <v>0</v>
      </c>
      <c r="F57" s="72">
        <f>-F33*'Risku analīze'!$E$113</f>
        <v>-520.47914884760007</v>
      </c>
      <c r="G57" s="72">
        <f>-G33*'Risku analīze'!$E$113</f>
        <v>-816.12917811026182</v>
      </c>
      <c r="H57" s="72">
        <f>-H33*'Risku analīze'!$E$113</f>
        <v>-853.14571754081965</v>
      </c>
      <c r="I57" s="72">
        <f>-I33*'Risku analīze'!$E$113</f>
        <v>-891.84118749875654</v>
      </c>
      <c r="J57" s="72">
        <f>-J33*'Risku analīze'!$E$113</f>
        <v>-932.29173793647544</v>
      </c>
      <c r="K57" s="72">
        <f>-K33*'Risku analīze'!$E$113</f>
        <v>-974.57697268082927</v>
      </c>
      <c r="L57" s="72">
        <f>-L33*'Risku analīze'!$E$113</f>
        <v>-1018.7801060878297</v>
      </c>
      <c r="M57" s="72">
        <f>-M33*'Risku analīze'!$E$113</f>
        <v>-1064.9881268026252</v>
      </c>
      <c r="N57" s="72">
        <f>-N33*'Risku analīze'!$E$113</f>
        <v>-1113.2919689470111</v>
      </c>
      <c r="O57" s="72"/>
      <c r="P57" s="50"/>
      <c r="Q57" s="55">
        <f t="shared" si="1"/>
        <v>-8185.5241444522089</v>
      </c>
      <c r="R57" s="45"/>
      <c r="S57" s="45"/>
      <c r="T57" s="45"/>
      <c r="U57" s="45"/>
      <c r="V57" s="45"/>
      <c r="W57" s="45"/>
      <c r="X57" s="45"/>
      <c r="Y57" s="45"/>
      <c r="Z57" s="45"/>
    </row>
    <row r="58" spans="2:26" x14ac:dyDescent="0.25">
      <c r="B58" s="40"/>
      <c r="C58" s="45"/>
      <c r="D58" s="45"/>
      <c r="E58" s="50"/>
      <c r="F58" s="50"/>
      <c r="G58" s="50"/>
      <c r="H58" s="50"/>
      <c r="I58" s="50"/>
      <c r="J58" s="50"/>
      <c r="K58" s="50"/>
      <c r="L58" s="50"/>
      <c r="M58" s="50"/>
      <c r="N58" s="50"/>
      <c r="O58" s="50"/>
      <c r="P58" s="50"/>
      <c r="Q58" s="50"/>
      <c r="R58" s="45"/>
      <c r="S58" s="45"/>
      <c r="T58" s="45"/>
      <c r="U58" s="45"/>
      <c r="V58" s="45"/>
      <c r="W58" s="45"/>
      <c r="X58" s="45"/>
      <c r="Y58" s="45"/>
      <c r="Z58" s="45"/>
    </row>
    <row r="59" spans="2:26" x14ac:dyDescent="0.25">
      <c r="B59" s="99" t="s">
        <v>167</v>
      </c>
      <c r="C59" s="45"/>
      <c r="D59" s="45"/>
      <c r="E59" s="82">
        <f t="shared" ref="E59:O59" si="14">IFERROR(E54*E41,"-")</f>
        <v>0</v>
      </c>
      <c r="F59" s="82">
        <f t="shared" si="14"/>
        <v>-1154.5651844637728</v>
      </c>
      <c r="G59" s="82">
        <f t="shared" si="14"/>
        <v>-1363.3035564378231</v>
      </c>
      <c r="H59" s="82">
        <f t="shared" si="14"/>
        <v>-1318.5102225777846</v>
      </c>
      <c r="I59" s="82">
        <f t="shared" si="14"/>
        <v>-1275.805106542211</v>
      </c>
      <c r="J59" s="82">
        <f t="shared" si="14"/>
        <v>-1235.076186081692</v>
      </c>
      <c r="K59" s="82">
        <f t="shared" si="14"/>
        <v>-1196.2176944700298</v>
      </c>
      <c r="L59" s="82">
        <f t="shared" si="14"/>
        <v>-1159.1297675972432</v>
      </c>
      <c r="M59" s="82">
        <f t="shared" si="14"/>
        <v>-1123.7181110221468</v>
      </c>
      <c r="N59" s="82">
        <f t="shared" si="14"/>
        <v>-1369.091074312503</v>
      </c>
      <c r="O59" s="82" t="str">
        <f t="shared" si="14"/>
        <v>-</v>
      </c>
      <c r="P59" s="50"/>
      <c r="Q59" s="55">
        <f t="shared" si="1"/>
        <v>-11195.416903505204</v>
      </c>
      <c r="R59" s="45"/>
      <c r="S59" s="45"/>
      <c r="T59" s="45"/>
      <c r="U59" s="45"/>
      <c r="V59" s="45"/>
      <c r="W59" s="45"/>
      <c r="X59" s="45"/>
      <c r="Y59" s="45"/>
      <c r="Z59" s="45"/>
    </row>
    <row r="60" spans="2:26" x14ac:dyDescent="0.25">
      <c r="B60" s="40"/>
      <c r="C60" s="45"/>
      <c r="D60" s="45"/>
      <c r="E60" s="50"/>
      <c r="F60" s="50"/>
      <c r="G60" s="50"/>
      <c r="H60" s="50"/>
      <c r="I60" s="50"/>
      <c r="J60" s="50"/>
      <c r="K60" s="50"/>
      <c r="L60" s="50"/>
      <c r="M60" s="50"/>
      <c r="N60" s="50"/>
      <c r="O60" s="50"/>
      <c r="P60" s="50"/>
      <c r="Q60" s="50"/>
      <c r="R60" s="45"/>
      <c r="S60" s="45"/>
      <c r="T60" s="45"/>
      <c r="U60" s="45"/>
      <c r="V60" s="45"/>
      <c r="W60" s="45"/>
      <c r="X60" s="45"/>
      <c r="Y60" s="45"/>
      <c r="Z60" s="45"/>
    </row>
    <row r="61" spans="2:26" x14ac:dyDescent="0.25">
      <c r="B61" s="52" t="s">
        <v>168</v>
      </c>
      <c r="C61" s="45"/>
      <c r="D61" s="45"/>
      <c r="E61" s="60">
        <f>SUM(E59:O59)</f>
        <v>-11195.416903505204</v>
      </c>
      <c r="F61" s="170" t="s">
        <v>217</v>
      </c>
      <c r="G61" s="50"/>
      <c r="H61" s="50"/>
      <c r="I61" s="50"/>
      <c r="J61" s="50"/>
      <c r="K61" s="50"/>
      <c r="L61" s="50"/>
      <c r="M61" s="50"/>
      <c r="N61" s="50"/>
      <c r="O61" s="50"/>
      <c r="P61" s="50"/>
      <c r="Q61" s="50"/>
      <c r="R61" s="45"/>
      <c r="S61" s="45"/>
      <c r="T61" s="45"/>
      <c r="U61" s="45"/>
      <c r="V61" s="45"/>
      <c r="W61" s="45"/>
      <c r="X61" s="45"/>
      <c r="Y61" s="45"/>
      <c r="Z61" s="45"/>
    </row>
    <row r="62" spans="2:26" x14ac:dyDescent="0.25">
      <c r="B62" s="40"/>
      <c r="C62" s="45"/>
      <c r="D62" s="45"/>
      <c r="E62" s="50"/>
      <c r="F62" s="50"/>
      <c r="G62" s="50"/>
      <c r="H62" s="50"/>
      <c r="I62" s="50"/>
      <c r="J62" s="50"/>
      <c r="K62" s="50"/>
      <c r="L62" s="50"/>
      <c r="M62" s="50"/>
      <c r="N62" s="50"/>
      <c r="O62" s="50"/>
      <c r="P62" s="50"/>
      <c r="Q62" s="50"/>
      <c r="R62" s="45"/>
      <c r="S62" s="45"/>
      <c r="T62" s="45"/>
      <c r="U62" s="45"/>
      <c r="V62" s="45"/>
      <c r="W62" s="45"/>
      <c r="X62" s="45"/>
      <c r="Y62" s="45"/>
      <c r="Z62" s="45"/>
    </row>
    <row r="63" spans="2:26" x14ac:dyDescent="0.25">
      <c r="B63" s="62" t="s">
        <v>165</v>
      </c>
      <c r="C63" s="45"/>
      <c r="D63" s="45"/>
      <c r="E63" s="55">
        <f>E49+E54</f>
        <v>0</v>
      </c>
      <c r="F63" s="55">
        <f>F49+F54</f>
        <v>-579356.24097001296</v>
      </c>
      <c r="G63" s="55">
        <f t="shared" ref="G63:O63" si="15">G49+G54</f>
        <v>-579682.68787732383</v>
      </c>
      <c r="H63" s="55">
        <f t="shared" si="15"/>
        <v>-579723.56030627841</v>
      </c>
      <c r="I63" s="55">
        <f t="shared" si="15"/>
        <v>-579766.28655435692</v>
      </c>
      <c r="J63" s="55">
        <f t="shared" si="15"/>
        <v>-579810.95070379856</v>
      </c>
      <c r="K63" s="55">
        <f t="shared" si="15"/>
        <v>-579857.64065049542</v>
      </c>
      <c r="L63" s="55">
        <f t="shared" si="15"/>
        <v>-579906.44827696565</v>
      </c>
      <c r="M63" s="55">
        <f t="shared" si="15"/>
        <v>-579957.46963317157</v>
      </c>
      <c r="N63" s="55">
        <f t="shared" si="15"/>
        <v>-980510.80512553942</v>
      </c>
      <c r="O63" s="55">
        <f t="shared" si="15"/>
        <v>0</v>
      </c>
      <c r="P63" s="50"/>
      <c r="Q63" s="55">
        <f t="shared" si="1"/>
        <v>-5618572.0900979424</v>
      </c>
      <c r="R63" s="45"/>
      <c r="S63" s="45"/>
      <c r="T63" s="45"/>
      <c r="U63" s="45"/>
      <c r="V63" s="45"/>
      <c r="W63" s="45"/>
      <c r="X63" s="45"/>
      <c r="Y63" s="45"/>
      <c r="Z63" s="45"/>
    </row>
    <row r="64" spans="2:26" x14ac:dyDescent="0.25">
      <c r="B64" s="56" t="s">
        <v>172</v>
      </c>
      <c r="C64" s="45"/>
      <c r="D64" s="45"/>
      <c r="E64" s="82">
        <f t="shared" ref="E64:O64" si="16">IFERROR(E63*E41,"-")</f>
        <v>0</v>
      </c>
      <c r="F64" s="82">
        <f t="shared" si="16"/>
        <v>-515624.99196334364</v>
      </c>
      <c r="G64" s="82">
        <f t="shared" si="16"/>
        <v>-486712.7627817961</v>
      </c>
      <c r="H64" s="82">
        <f t="shared" si="16"/>
        <v>-459195.35854838754</v>
      </c>
      <c r="I64" s="82">
        <f t="shared" si="16"/>
        <v>-433235.09597994754</v>
      </c>
      <c r="J64" s="82">
        <f t="shared" si="16"/>
        <v>-408743.84116099234</v>
      </c>
      <c r="K64" s="82">
        <f t="shared" si="16"/>
        <v>-385638.44880287623</v>
      </c>
      <c r="L64" s="82">
        <f t="shared" si="16"/>
        <v>-363840.47986986727</v>
      </c>
      <c r="M64" s="82">
        <f t="shared" si="16"/>
        <v>-343275.93518863537</v>
      </c>
      <c r="N64" s="82">
        <f t="shared" si="16"/>
        <v>-547512.11229093815</v>
      </c>
      <c r="O64" s="82" t="str">
        <f t="shared" si="16"/>
        <v>-</v>
      </c>
      <c r="P64" s="50"/>
      <c r="Q64" s="55">
        <f t="shared" si="1"/>
        <v>-3943779.026586784</v>
      </c>
      <c r="R64" s="45"/>
      <c r="S64" s="45"/>
      <c r="T64" s="45"/>
      <c r="U64" s="45"/>
      <c r="V64" s="45"/>
      <c r="W64" s="45"/>
      <c r="X64" s="45"/>
      <c r="Y64" s="45"/>
      <c r="Z64" s="45"/>
    </row>
    <row r="65" spans="2:26" x14ac:dyDescent="0.25">
      <c r="C65" s="45"/>
      <c r="D65" s="45"/>
      <c r="E65" s="50"/>
      <c r="F65" s="50"/>
      <c r="G65" s="50"/>
      <c r="H65" s="50"/>
      <c r="I65" s="50"/>
      <c r="J65" s="50"/>
      <c r="K65" s="50"/>
      <c r="L65" s="50"/>
      <c r="M65" s="50"/>
      <c r="N65" s="50"/>
      <c r="O65" s="50"/>
      <c r="P65" s="50"/>
      <c r="Q65" s="50"/>
      <c r="R65" s="45"/>
      <c r="S65" s="45"/>
      <c r="T65" s="45"/>
      <c r="U65" s="45"/>
      <c r="V65" s="45"/>
      <c r="W65" s="45"/>
      <c r="X65" s="45"/>
      <c r="Y65" s="45"/>
      <c r="Z65" s="45"/>
    </row>
    <row r="66" spans="2:26" x14ac:dyDescent="0.25">
      <c r="B66" s="97" t="s">
        <v>140</v>
      </c>
      <c r="C66" s="45"/>
      <c r="D66" s="45"/>
      <c r="E66" s="60">
        <f>SUM(E64:O64)</f>
        <v>-3943779.026586784</v>
      </c>
      <c r="F66" s="170" t="s">
        <v>217</v>
      </c>
      <c r="G66" s="50"/>
      <c r="H66" s="50"/>
      <c r="I66" s="50"/>
      <c r="J66" s="50"/>
      <c r="K66" s="50"/>
      <c r="L66" s="50"/>
      <c r="M66" s="50"/>
      <c r="N66" s="50"/>
      <c r="O66" s="50"/>
      <c r="P66" s="50"/>
      <c r="Q66" s="50"/>
      <c r="R66" s="45"/>
      <c r="S66" s="45"/>
      <c r="T66" s="45"/>
      <c r="U66" s="45"/>
      <c r="V66" s="45"/>
      <c r="W66" s="45"/>
      <c r="X66" s="45"/>
      <c r="Y66" s="45"/>
      <c r="Z66" s="45"/>
    </row>
    <row r="67" spans="2:26" x14ac:dyDescent="0.25">
      <c r="C67" s="45"/>
      <c r="D67" s="45"/>
      <c r="E67" s="50"/>
      <c r="F67" s="50"/>
      <c r="G67" s="50"/>
      <c r="H67" s="50"/>
      <c r="I67" s="50"/>
      <c r="J67" s="50"/>
      <c r="K67" s="50"/>
      <c r="L67" s="50"/>
      <c r="M67" s="50"/>
      <c r="N67" s="50"/>
      <c r="O67" s="50"/>
      <c r="P67" s="50"/>
      <c r="Q67" s="50"/>
      <c r="R67" s="45"/>
      <c r="S67" s="45"/>
      <c r="T67" s="45"/>
      <c r="U67" s="45"/>
      <c r="V67" s="45"/>
      <c r="W67" s="45"/>
      <c r="X67" s="45"/>
      <c r="Y67" s="45"/>
      <c r="Z67" s="45"/>
    </row>
    <row r="68" spans="2:26" x14ac:dyDescent="0.25">
      <c r="B68" s="121" t="s">
        <v>146</v>
      </c>
      <c r="C68" s="45"/>
      <c r="D68" s="45"/>
      <c r="E68" s="89">
        <v>0</v>
      </c>
      <c r="F68" s="89">
        <f>-$Q$38/9</f>
        <v>578058.97152874945</v>
      </c>
      <c r="G68" s="89">
        <f t="shared" ref="G68:M68" si="17">-$Q$38/9</f>
        <v>578058.97152874945</v>
      </c>
      <c r="H68" s="89">
        <f t="shared" si="17"/>
        <v>578058.97152874945</v>
      </c>
      <c r="I68" s="89">
        <f t="shared" si="17"/>
        <v>578058.97152874945</v>
      </c>
      <c r="J68" s="89">
        <f t="shared" si="17"/>
        <v>578058.97152874945</v>
      </c>
      <c r="K68" s="89">
        <f t="shared" si="17"/>
        <v>578058.97152874945</v>
      </c>
      <c r="L68" s="89">
        <f t="shared" si="17"/>
        <v>578058.97152874945</v>
      </c>
      <c r="M68" s="89">
        <f t="shared" si="17"/>
        <v>578058.97152874945</v>
      </c>
      <c r="N68" s="89">
        <f>-$Q$38/9+Projekts!M40</f>
        <v>978058.97152874945</v>
      </c>
      <c r="O68" s="89"/>
      <c r="P68" s="50"/>
      <c r="Q68" s="55">
        <f>SUM(E68:O68)</f>
        <v>5602530.7437587455</v>
      </c>
      <c r="R68" s="45"/>
      <c r="S68" s="45"/>
      <c r="T68" s="45"/>
      <c r="U68" s="45"/>
      <c r="V68" s="45"/>
      <c r="W68" s="45"/>
      <c r="X68" s="45"/>
      <c r="Y68" s="45"/>
      <c r="Z68" s="45"/>
    </row>
    <row r="69" spans="2:26" x14ac:dyDescent="0.25">
      <c r="C69" s="45"/>
      <c r="D69" s="45"/>
      <c r="E69" s="45"/>
      <c r="F69" s="45"/>
      <c r="G69" s="45"/>
      <c r="H69" s="45"/>
      <c r="I69" s="45"/>
      <c r="J69" s="45"/>
      <c r="K69" s="45"/>
      <c r="L69" s="45"/>
      <c r="M69" s="45"/>
      <c r="N69" s="45"/>
      <c r="O69" s="45"/>
      <c r="P69" s="45"/>
      <c r="Q69" s="45"/>
      <c r="R69" s="45"/>
      <c r="S69" s="45"/>
      <c r="T69" s="45"/>
      <c r="U69" s="45"/>
      <c r="V69" s="45"/>
      <c r="W69" s="45"/>
      <c r="X69" s="45"/>
      <c r="Y69" s="45"/>
      <c r="Z69" s="45"/>
    </row>
    <row r="70" spans="2:26" x14ac:dyDescent="0.25"/>
  </sheetData>
  <mergeCells count="1">
    <mergeCell ref="E2:G2"/>
  </mergeCells>
  <conditionalFormatting sqref="E2:G2">
    <cfRule type="cellIs" dxfId="12" priority="3" operator="equal">
      <formula>"NEAIZPILDĪT"</formula>
    </cfRule>
  </conditionalFormatting>
  <conditionalFormatting sqref="B5:Q7 B8:D10 O8:Q10 B11:Q68">
    <cfRule type="expression" dxfId="11" priority="2">
      <formula>$E$2="NEAIZPILDĪT"</formula>
    </cfRule>
  </conditionalFormatting>
  <conditionalFormatting sqref="E8:N10">
    <cfRule type="expression" dxfId="10" priority="1">
      <formula>$E$2="NEAIZPILDĪT"</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sheetPr>
  <dimension ref="A1:Z73"/>
  <sheetViews>
    <sheetView zoomScale="80" zoomScaleNormal="80" workbookViewId="0">
      <pane xSplit="4" ySplit="9" topLeftCell="E10" activePane="bottomRight" state="frozen"/>
      <selection pane="topRight" activeCell="E1" sqref="E1"/>
      <selection pane="bottomLeft" activeCell="A10" sqref="A10"/>
      <selection pane="bottomRight" activeCell="B27" sqref="B27"/>
    </sheetView>
  </sheetViews>
  <sheetFormatPr defaultColWidth="0" defaultRowHeight="12" zeroHeight="1" outlineLevelCol="1" x14ac:dyDescent="0.25"/>
  <cols>
    <col min="1" max="1" width="8.88671875" style="1" customWidth="1"/>
    <col min="2" max="2" width="41.21875" style="1" bestFit="1" customWidth="1"/>
    <col min="3" max="3" width="3.33203125" style="1" customWidth="1"/>
    <col min="4" max="4" width="12.6640625" style="1" hidden="1" customWidth="1" outlineLevel="1"/>
    <col min="5" max="5" width="10.33203125" style="1" bestFit="1" customWidth="1" collapsed="1"/>
    <col min="6" max="15" width="8.88671875" style="1" customWidth="1"/>
    <col min="16" max="16" width="3.88671875" style="1" customWidth="1"/>
    <col min="17" max="18" width="8.88671875" style="1" customWidth="1"/>
    <col min="19" max="16384" width="8.88671875" style="1" hidden="1"/>
  </cols>
  <sheetData>
    <row r="1" spans="2:26" x14ac:dyDescent="0.25"/>
    <row r="2" spans="2:26" ht="14.4" x14ac:dyDescent="0.3">
      <c r="B2" s="51" t="s">
        <v>142</v>
      </c>
      <c r="C2" s="51"/>
      <c r="D2" s="51"/>
      <c r="E2" s="263" t="str">
        <f>IF(Titullapa!$D$22="Jā","AIZPILDĪT","NEAIZPILDĪT")</f>
        <v>NEAIZPILDĪT</v>
      </c>
      <c r="F2" s="263"/>
      <c r="G2" s="263"/>
      <c r="H2" s="51"/>
      <c r="I2" s="51"/>
      <c r="J2" s="51"/>
      <c r="K2" s="51"/>
      <c r="L2" s="51"/>
      <c r="M2" s="51"/>
      <c r="N2" s="51"/>
      <c r="O2" s="51"/>
    </row>
    <row r="3" spans="2:26" x14ac:dyDescent="0.25"/>
    <row r="4" spans="2:26" x14ac:dyDescent="0.25"/>
    <row r="5" spans="2:26" x14ac:dyDescent="0.25">
      <c r="B5" s="54" t="s">
        <v>147</v>
      </c>
      <c r="E5" s="63" t="s">
        <v>137</v>
      </c>
    </row>
    <row r="6" spans="2:26" x14ac:dyDescent="0.25">
      <c r="B6" s="54" t="s">
        <v>194</v>
      </c>
      <c r="C6" s="45"/>
      <c r="D6" s="45"/>
      <c r="E6" s="69">
        <f>NPV_Bāze_I!E6</f>
        <v>0.04</v>
      </c>
      <c r="F6" s="45"/>
      <c r="G6" s="45"/>
      <c r="H6" s="45"/>
      <c r="I6" s="45"/>
      <c r="J6" s="45"/>
      <c r="K6" s="45"/>
      <c r="L6" s="45"/>
      <c r="M6" s="45"/>
      <c r="N6" s="45"/>
      <c r="O6" s="45"/>
      <c r="P6" s="45"/>
      <c r="Q6" s="45"/>
      <c r="R6" s="45"/>
      <c r="S6" s="45"/>
      <c r="T6" s="45"/>
      <c r="U6" s="45"/>
      <c r="V6" s="45"/>
      <c r="W6" s="45"/>
      <c r="X6" s="45"/>
      <c r="Y6" s="45"/>
      <c r="Z6" s="45"/>
    </row>
    <row r="7" spans="2:26" x14ac:dyDescent="0.25">
      <c r="B7" s="46"/>
      <c r="C7" s="45"/>
      <c r="D7" s="45"/>
      <c r="E7" s="45"/>
      <c r="F7" s="45"/>
      <c r="G7" s="45"/>
      <c r="H7" s="45"/>
      <c r="I7" s="45"/>
      <c r="J7" s="45"/>
      <c r="K7" s="45"/>
      <c r="L7" s="45"/>
      <c r="M7" s="45"/>
      <c r="N7" s="45"/>
      <c r="O7" s="45"/>
      <c r="P7" s="45"/>
      <c r="Q7" s="45"/>
      <c r="R7" s="45"/>
      <c r="S7" s="45"/>
      <c r="T7" s="45"/>
      <c r="U7" s="45"/>
      <c r="V7" s="45"/>
      <c r="W7" s="45"/>
      <c r="X7" s="45"/>
      <c r="Y7" s="45"/>
      <c r="Z7" s="45"/>
    </row>
    <row r="8" spans="2:26" x14ac:dyDescent="0.25">
      <c r="B8" s="54" t="s">
        <v>170</v>
      </c>
      <c r="C8" s="45"/>
      <c r="D8" s="45"/>
      <c r="E8" s="174">
        <f>Projekts!D4</f>
        <v>2022</v>
      </c>
      <c r="F8" s="174">
        <f>Projekts!E4</f>
        <v>2023</v>
      </c>
      <c r="G8" s="174">
        <f>Projekts!F4</f>
        <v>2024</v>
      </c>
      <c r="H8" s="174">
        <f>Projekts!G4</f>
        <v>2025</v>
      </c>
      <c r="I8" s="174">
        <f>Projekts!H4</f>
        <v>2026</v>
      </c>
      <c r="J8" s="174">
        <f>Projekts!I4</f>
        <v>2027</v>
      </c>
      <c r="K8" s="174">
        <f>Projekts!J4</f>
        <v>2028</v>
      </c>
      <c r="L8" s="174">
        <f>Projekts!K4</f>
        <v>2029</v>
      </c>
      <c r="M8" s="174">
        <f>Projekts!L4</f>
        <v>2030</v>
      </c>
      <c r="N8" s="174">
        <f>Projekts!M4</f>
        <v>2031</v>
      </c>
      <c r="O8" s="67"/>
      <c r="P8" s="45"/>
      <c r="Q8" s="45" t="s">
        <v>192</v>
      </c>
      <c r="R8" s="45"/>
      <c r="S8" s="45"/>
      <c r="T8" s="45"/>
      <c r="U8" s="45"/>
      <c r="V8" s="45"/>
      <c r="W8" s="45"/>
      <c r="X8" s="45"/>
      <c r="Y8" s="45"/>
      <c r="Z8" s="45"/>
    </row>
    <row r="9" spans="2:26" x14ac:dyDescent="0.25">
      <c r="B9" s="54" t="s">
        <v>169</v>
      </c>
      <c r="C9" s="45"/>
      <c r="D9" s="45"/>
      <c r="E9" s="175">
        <f>Projekts!D5</f>
        <v>1</v>
      </c>
      <c r="F9" s="175">
        <f>Projekts!E5</f>
        <v>2</v>
      </c>
      <c r="G9" s="175">
        <f>Projekts!F5</f>
        <v>3</v>
      </c>
      <c r="H9" s="175">
        <f>Projekts!G5</f>
        <v>4</v>
      </c>
      <c r="I9" s="175">
        <f>Projekts!H5</f>
        <v>5</v>
      </c>
      <c r="J9" s="175">
        <f>Projekts!I5</f>
        <v>6</v>
      </c>
      <c r="K9" s="175">
        <f>Projekts!J5</f>
        <v>7</v>
      </c>
      <c r="L9" s="175">
        <f>Projekts!K5</f>
        <v>8</v>
      </c>
      <c r="M9" s="175">
        <f>Projekts!L5</f>
        <v>9</v>
      </c>
      <c r="N9" s="175">
        <f>Projekts!M5</f>
        <v>10</v>
      </c>
      <c r="O9" s="61" t="s">
        <v>111</v>
      </c>
      <c r="P9" s="45"/>
      <c r="Q9" s="45">
        <f>COUNTA(E9:O9)</f>
        <v>11</v>
      </c>
      <c r="R9" s="45"/>
      <c r="S9" s="45"/>
      <c r="T9" s="45"/>
      <c r="U9" s="45"/>
      <c r="V9" s="45"/>
      <c r="W9" s="45"/>
      <c r="X9" s="45"/>
      <c r="Y9" s="45"/>
      <c r="Z9" s="45"/>
    </row>
    <row r="10" spans="2:26" x14ac:dyDescent="0.25">
      <c r="B10" s="54" t="s">
        <v>148</v>
      </c>
      <c r="C10" s="45"/>
      <c r="D10" s="45"/>
      <c r="E10" s="176">
        <f>Projekts!D9</f>
        <v>0.02</v>
      </c>
      <c r="F10" s="176">
        <f>Projekts!E9</f>
        <v>0.02</v>
      </c>
      <c r="G10" s="176">
        <f>Projekts!F9</f>
        <v>0.02</v>
      </c>
      <c r="H10" s="176">
        <f>Projekts!G9</f>
        <v>0.02</v>
      </c>
      <c r="I10" s="176">
        <f>Projekts!H9</f>
        <v>0.02</v>
      </c>
      <c r="J10" s="176">
        <f>Projekts!I9</f>
        <v>0.02</v>
      </c>
      <c r="K10" s="176">
        <f>Projekts!J9</f>
        <v>0.02</v>
      </c>
      <c r="L10" s="176">
        <f>Projekts!K9</f>
        <v>0.02</v>
      </c>
      <c r="M10" s="176">
        <f>Projekts!L9</f>
        <v>0.02</v>
      </c>
      <c r="N10" s="176">
        <f>Projekts!M9</f>
        <v>0.02</v>
      </c>
      <c r="O10" s="68"/>
      <c r="P10" s="45"/>
      <c r="Q10" s="45"/>
      <c r="R10" s="45"/>
      <c r="S10" s="45"/>
      <c r="T10" s="45"/>
      <c r="U10" s="45"/>
      <c r="V10" s="45"/>
      <c r="W10" s="45"/>
      <c r="X10" s="45"/>
      <c r="Y10" s="45"/>
      <c r="Z10" s="45"/>
    </row>
    <row r="11" spans="2:26" x14ac:dyDescent="0.25">
      <c r="B11" s="40"/>
      <c r="C11" s="45"/>
      <c r="D11" s="45"/>
      <c r="E11" s="45"/>
      <c r="F11" s="45"/>
      <c r="G11" s="45"/>
      <c r="H11" s="45"/>
      <c r="I11" s="45"/>
      <c r="J11" s="45"/>
      <c r="K11" s="45"/>
      <c r="L11" s="45"/>
      <c r="M11" s="45"/>
      <c r="N11" s="45"/>
      <c r="O11" s="45"/>
      <c r="P11" s="45"/>
      <c r="Q11" s="45"/>
      <c r="R11" s="45"/>
      <c r="S11" s="45"/>
      <c r="T11" s="45"/>
      <c r="U11" s="45"/>
      <c r="V11" s="45"/>
      <c r="W11" s="45"/>
      <c r="X11" s="45"/>
      <c r="Y11" s="45"/>
      <c r="Z11" s="45"/>
    </row>
    <row r="12" spans="2:26" x14ac:dyDescent="0.25">
      <c r="B12" s="47" t="s">
        <v>173</v>
      </c>
      <c r="C12" s="45"/>
      <c r="D12" s="49" t="s">
        <v>161</v>
      </c>
      <c r="E12" s="45"/>
      <c r="F12" s="45"/>
      <c r="G12" s="45"/>
      <c r="H12" s="45"/>
      <c r="I12" s="45"/>
      <c r="J12" s="45"/>
      <c r="K12" s="45"/>
      <c r="L12" s="45"/>
      <c r="M12" s="45"/>
      <c r="N12" s="45"/>
      <c r="O12" s="45"/>
      <c r="P12" s="45"/>
      <c r="Q12" s="45"/>
      <c r="R12" s="45"/>
      <c r="S12" s="45"/>
      <c r="T12" s="45"/>
      <c r="U12" s="45"/>
      <c r="V12" s="45"/>
      <c r="W12" s="45"/>
      <c r="X12" s="45"/>
      <c r="Y12" s="45"/>
      <c r="Z12" s="45"/>
    </row>
    <row r="13" spans="2:26" x14ac:dyDescent="0.25">
      <c r="B13" s="62" t="s">
        <v>150</v>
      </c>
      <c r="C13" s="45"/>
      <c r="D13" s="49"/>
      <c r="E13" s="55">
        <f>SUM(E14:E17)</f>
        <v>0</v>
      </c>
      <c r="F13" s="55">
        <f t="shared" ref="F13:O13" si="0">SUM(F14:F17)</f>
        <v>0</v>
      </c>
      <c r="G13" s="55">
        <f t="shared" si="0"/>
        <v>0</v>
      </c>
      <c r="H13" s="55">
        <f t="shared" si="0"/>
        <v>0</v>
      </c>
      <c r="I13" s="55">
        <f t="shared" si="0"/>
        <v>0</v>
      </c>
      <c r="J13" s="55">
        <f t="shared" si="0"/>
        <v>0</v>
      </c>
      <c r="K13" s="55">
        <f t="shared" si="0"/>
        <v>0</v>
      </c>
      <c r="L13" s="55">
        <f t="shared" si="0"/>
        <v>0</v>
      </c>
      <c r="M13" s="55">
        <f t="shared" si="0"/>
        <v>0</v>
      </c>
      <c r="N13" s="55">
        <f t="shared" si="0"/>
        <v>0</v>
      </c>
      <c r="O13" s="55">
        <f t="shared" si="0"/>
        <v>0</v>
      </c>
      <c r="P13" s="50"/>
      <c r="Q13" s="55">
        <f>SUM(E13:O13)</f>
        <v>0</v>
      </c>
      <c r="R13" s="45"/>
      <c r="S13" s="45"/>
      <c r="T13" s="45"/>
      <c r="U13" s="45"/>
      <c r="V13" s="45"/>
      <c r="W13" s="45"/>
      <c r="X13" s="45"/>
      <c r="Y13" s="45"/>
      <c r="Z13" s="45"/>
    </row>
    <row r="14" spans="2:26" x14ac:dyDescent="0.25">
      <c r="B14" s="83" t="s">
        <v>178</v>
      </c>
      <c r="C14" s="45"/>
      <c r="D14" s="49" t="s">
        <v>162</v>
      </c>
      <c r="E14" s="72"/>
      <c r="F14" s="72"/>
      <c r="G14" s="72"/>
      <c r="H14" s="72"/>
      <c r="I14" s="72"/>
      <c r="J14" s="72"/>
      <c r="K14" s="72"/>
      <c r="L14" s="72"/>
      <c r="M14" s="72"/>
      <c r="N14" s="72"/>
      <c r="O14" s="72"/>
      <c r="P14" s="50"/>
      <c r="Q14" s="55">
        <f t="shared" ref="Q14:Q67" si="1">SUM(E14:O14)</f>
        <v>0</v>
      </c>
      <c r="R14" s="45"/>
      <c r="S14" s="45"/>
      <c r="T14" s="45"/>
      <c r="U14" s="45"/>
      <c r="V14" s="45"/>
      <c r="W14" s="45"/>
      <c r="X14" s="45"/>
      <c r="Y14" s="45"/>
      <c r="Z14" s="45"/>
    </row>
    <row r="15" spans="2:26" x14ac:dyDescent="0.25">
      <c r="B15" s="83" t="s">
        <v>179</v>
      </c>
      <c r="C15" s="45"/>
      <c r="D15" s="49" t="s">
        <v>162</v>
      </c>
      <c r="E15" s="72"/>
      <c r="F15" s="72"/>
      <c r="G15" s="72"/>
      <c r="H15" s="72"/>
      <c r="I15" s="72"/>
      <c r="J15" s="72"/>
      <c r="K15" s="72"/>
      <c r="L15" s="72"/>
      <c r="M15" s="72"/>
      <c r="N15" s="72"/>
      <c r="O15" s="72"/>
      <c r="P15" s="50"/>
      <c r="Q15" s="55">
        <f t="shared" si="1"/>
        <v>0</v>
      </c>
      <c r="R15" s="45"/>
      <c r="S15" s="45"/>
      <c r="T15" s="45"/>
      <c r="U15" s="45"/>
      <c r="V15" s="45"/>
      <c r="W15" s="45"/>
      <c r="X15" s="45"/>
      <c r="Y15" s="45"/>
      <c r="Z15" s="45"/>
    </row>
    <row r="16" spans="2:26" x14ac:dyDescent="0.25">
      <c r="B16" s="83" t="s">
        <v>180</v>
      </c>
      <c r="C16" s="45"/>
      <c r="D16" s="49" t="s">
        <v>162</v>
      </c>
      <c r="E16" s="72"/>
      <c r="F16" s="72"/>
      <c r="G16" s="72"/>
      <c r="H16" s="72"/>
      <c r="I16" s="72"/>
      <c r="J16" s="72"/>
      <c r="K16" s="72"/>
      <c r="L16" s="72"/>
      <c r="M16" s="72"/>
      <c r="N16" s="72"/>
      <c r="O16" s="72"/>
      <c r="P16" s="50"/>
      <c r="Q16" s="55">
        <f t="shared" si="1"/>
        <v>0</v>
      </c>
      <c r="R16" s="45"/>
      <c r="S16" s="45"/>
      <c r="T16" s="45"/>
      <c r="U16" s="45"/>
      <c r="V16" s="45"/>
      <c r="W16" s="45"/>
      <c r="X16" s="45"/>
      <c r="Y16" s="45"/>
      <c r="Z16" s="45"/>
    </row>
    <row r="17" spans="2:26" x14ac:dyDescent="0.25">
      <c r="B17" s="83" t="s">
        <v>111</v>
      </c>
      <c r="C17" s="45"/>
      <c r="D17" s="49" t="s">
        <v>162</v>
      </c>
      <c r="E17" s="72"/>
      <c r="F17" s="72"/>
      <c r="G17" s="72"/>
      <c r="H17" s="72"/>
      <c r="I17" s="72"/>
      <c r="J17" s="72"/>
      <c r="K17" s="72"/>
      <c r="L17" s="72"/>
      <c r="M17" s="72"/>
      <c r="N17" s="72"/>
      <c r="O17" s="72"/>
      <c r="P17" s="50"/>
      <c r="Q17" s="55">
        <f t="shared" si="1"/>
        <v>0</v>
      </c>
      <c r="R17" s="45"/>
      <c r="S17" s="45"/>
      <c r="T17" s="45"/>
      <c r="U17" s="45"/>
      <c r="V17" s="45"/>
      <c r="W17" s="45"/>
      <c r="X17" s="45"/>
      <c r="Y17" s="45"/>
      <c r="Z17" s="45"/>
    </row>
    <row r="18" spans="2:26" x14ac:dyDescent="0.25">
      <c r="B18" s="40"/>
      <c r="C18" s="45"/>
      <c r="D18" s="49"/>
      <c r="E18" s="50"/>
      <c r="F18" s="50"/>
      <c r="G18" s="50"/>
      <c r="H18" s="50"/>
      <c r="I18" s="50"/>
      <c r="J18" s="50"/>
      <c r="K18" s="50"/>
      <c r="L18" s="50"/>
      <c r="M18" s="50"/>
      <c r="N18" s="50"/>
      <c r="O18" s="50"/>
      <c r="P18" s="50"/>
      <c r="Q18" s="50"/>
      <c r="R18" s="45"/>
      <c r="S18" s="45"/>
      <c r="T18" s="45"/>
      <c r="U18" s="45"/>
      <c r="V18" s="45"/>
      <c r="W18" s="45"/>
      <c r="X18" s="45"/>
      <c r="Y18" s="45"/>
      <c r="Z18" s="45"/>
    </row>
    <row r="19" spans="2:26" x14ac:dyDescent="0.25">
      <c r="B19" s="62" t="s">
        <v>151</v>
      </c>
      <c r="C19" s="45"/>
      <c r="D19" s="49"/>
      <c r="E19" s="55">
        <f>E20+E25</f>
        <v>0</v>
      </c>
      <c r="F19" s="55">
        <f t="shared" ref="F19:O19" si="2">F20+F25</f>
        <v>0</v>
      </c>
      <c r="G19" s="55">
        <f t="shared" si="2"/>
        <v>0</v>
      </c>
      <c r="H19" s="55">
        <f t="shared" si="2"/>
        <v>0</v>
      </c>
      <c r="I19" s="55">
        <f t="shared" si="2"/>
        <v>0</v>
      </c>
      <c r="J19" s="55">
        <f t="shared" si="2"/>
        <v>0</v>
      </c>
      <c r="K19" s="55">
        <f t="shared" si="2"/>
        <v>0</v>
      </c>
      <c r="L19" s="55">
        <f t="shared" si="2"/>
        <v>0</v>
      </c>
      <c r="M19" s="55">
        <f t="shared" si="2"/>
        <v>0</v>
      </c>
      <c r="N19" s="55">
        <f t="shared" si="2"/>
        <v>0</v>
      </c>
      <c r="O19" s="55">
        <f t="shared" si="2"/>
        <v>0</v>
      </c>
      <c r="P19" s="50"/>
      <c r="Q19" s="55">
        <f t="shared" si="1"/>
        <v>0</v>
      </c>
      <c r="R19" s="45"/>
      <c r="S19" s="45"/>
      <c r="T19" s="45"/>
      <c r="U19" s="45"/>
      <c r="V19" s="45"/>
      <c r="W19" s="45"/>
      <c r="X19" s="45"/>
      <c r="Y19" s="45"/>
      <c r="Z19" s="45"/>
    </row>
    <row r="20" spans="2:26" x14ac:dyDescent="0.25">
      <c r="B20" s="84" t="s">
        <v>152</v>
      </c>
      <c r="C20" s="45"/>
      <c r="D20" s="49"/>
      <c r="E20" s="55">
        <f>SUM(E21:E24)</f>
        <v>0</v>
      </c>
      <c r="F20" s="55">
        <f t="shared" ref="F20:O20" si="3">SUM(F21:F24)</f>
        <v>0</v>
      </c>
      <c r="G20" s="55">
        <f t="shared" si="3"/>
        <v>0</v>
      </c>
      <c r="H20" s="55">
        <f t="shared" si="3"/>
        <v>0</v>
      </c>
      <c r="I20" s="55">
        <f t="shared" si="3"/>
        <v>0</v>
      </c>
      <c r="J20" s="55">
        <f t="shared" si="3"/>
        <v>0</v>
      </c>
      <c r="K20" s="55">
        <f t="shared" si="3"/>
        <v>0</v>
      </c>
      <c r="L20" s="55">
        <f t="shared" si="3"/>
        <v>0</v>
      </c>
      <c r="M20" s="55">
        <f t="shared" si="3"/>
        <v>0</v>
      </c>
      <c r="N20" s="55">
        <f t="shared" si="3"/>
        <v>0</v>
      </c>
      <c r="O20" s="55">
        <f t="shared" si="3"/>
        <v>0</v>
      </c>
      <c r="P20" s="50"/>
      <c r="Q20" s="55">
        <f t="shared" si="1"/>
        <v>0</v>
      </c>
      <c r="R20" s="45"/>
      <c r="S20" s="45"/>
      <c r="T20" s="45"/>
      <c r="U20" s="45"/>
      <c r="V20" s="45"/>
      <c r="W20" s="45"/>
      <c r="X20" s="45"/>
      <c r="Y20" s="45"/>
      <c r="Z20" s="45"/>
    </row>
    <row r="21" spans="2:26" x14ac:dyDescent="0.25">
      <c r="B21" s="83" t="s">
        <v>181</v>
      </c>
      <c r="C21" s="45"/>
      <c r="D21" s="49" t="s">
        <v>162</v>
      </c>
      <c r="E21" s="72"/>
      <c r="F21" s="72"/>
      <c r="G21" s="72"/>
      <c r="H21" s="72"/>
      <c r="I21" s="72"/>
      <c r="J21" s="72"/>
      <c r="K21" s="72"/>
      <c r="L21" s="72"/>
      <c r="M21" s="72"/>
      <c r="N21" s="72"/>
      <c r="O21" s="72"/>
      <c r="P21" s="50"/>
      <c r="Q21" s="55">
        <f t="shared" si="1"/>
        <v>0</v>
      </c>
      <c r="R21" s="45"/>
      <c r="S21" s="45"/>
      <c r="T21" s="45"/>
      <c r="U21" s="45"/>
      <c r="V21" s="45"/>
      <c r="W21" s="45"/>
      <c r="X21" s="45"/>
      <c r="Y21" s="45"/>
      <c r="Z21" s="45"/>
    </row>
    <row r="22" spans="2:26" x14ac:dyDescent="0.25">
      <c r="B22" s="83" t="s">
        <v>182</v>
      </c>
      <c r="C22" s="45"/>
      <c r="D22" s="49" t="s">
        <v>162</v>
      </c>
      <c r="E22" s="72"/>
      <c r="F22" s="72"/>
      <c r="G22" s="72"/>
      <c r="H22" s="72"/>
      <c r="I22" s="72"/>
      <c r="J22" s="72"/>
      <c r="K22" s="72"/>
      <c r="L22" s="72"/>
      <c r="M22" s="72"/>
      <c r="N22" s="72"/>
      <c r="O22" s="72"/>
      <c r="P22" s="50"/>
      <c r="Q22" s="55">
        <f t="shared" si="1"/>
        <v>0</v>
      </c>
      <c r="R22" s="45"/>
      <c r="S22" s="45"/>
      <c r="T22" s="45"/>
      <c r="U22" s="45"/>
      <c r="V22" s="45"/>
      <c r="W22" s="45"/>
      <c r="X22" s="45"/>
      <c r="Y22" s="45"/>
      <c r="Z22" s="45"/>
    </row>
    <row r="23" spans="2:26" x14ac:dyDescent="0.25">
      <c r="B23" s="83" t="s">
        <v>183</v>
      </c>
      <c r="C23" s="45"/>
      <c r="D23" s="49" t="s">
        <v>162</v>
      </c>
      <c r="E23" s="72"/>
      <c r="F23" s="72"/>
      <c r="G23" s="72"/>
      <c r="H23" s="72"/>
      <c r="I23" s="72"/>
      <c r="J23" s="72"/>
      <c r="K23" s="72"/>
      <c r="L23" s="72"/>
      <c r="M23" s="72"/>
      <c r="N23" s="72"/>
      <c r="O23" s="72"/>
      <c r="P23" s="50"/>
      <c r="Q23" s="55">
        <f t="shared" si="1"/>
        <v>0</v>
      </c>
      <c r="R23" s="45"/>
      <c r="S23" s="45"/>
      <c r="T23" s="45"/>
      <c r="U23" s="45"/>
      <c r="V23" s="45"/>
      <c r="W23" s="45"/>
      <c r="X23" s="45"/>
      <c r="Y23" s="45"/>
      <c r="Z23" s="45"/>
    </row>
    <row r="24" spans="2:26" x14ac:dyDescent="0.25">
      <c r="B24" s="83" t="s">
        <v>111</v>
      </c>
      <c r="C24" s="45"/>
      <c r="D24" s="49" t="s">
        <v>162</v>
      </c>
      <c r="E24" s="72"/>
      <c r="F24" s="72"/>
      <c r="G24" s="72"/>
      <c r="H24" s="72"/>
      <c r="I24" s="72"/>
      <c r="J24" s="72"/>
      <c r="K24" s="72"/>
      <c r="L24" s="72"/>
      <c r="M24" s="72"/>
      <c r="N24" s="72"/>
      <c r="O24" s="72"/>
      <c r="P24" s="50"/>
      <c r="Q24" s="55">
        <f t="shared" si="1"/>
        <v>0</v>
      </c>
      <c r="R24" s="45"/>
      <c r="S24" s="45"/>
      <c r="T24" s="45"/>
      <c r="U24" s="45"/>
      <c r="V24" s="45"/>
      <c r="W24" s="45"/>
      <c r="X24" s="45"/>
      <c r="Y24" s="45"/>
      <c r="Z24" s="45"/>
    </row>
    <row r="25" spans="2:26" x14ac:dyDescent="0.25">
      <c r="B25" s="84" t="s">
        <v>153</v>
      </c>
      <c r="C25" s="45"/>
      <c r="D25" s="49"/>
      <c r="E25" s="55">
        <f>SUM(E26:E29)</f>
        <v>0</v>
      </c>
      <c r="F25" s="55">
        <f t="shared" ref="F25:O25" si="4">SUM(F26:F29)</f>
        <v>0</v>
      </c>
      <c r="G25" s="55">
        <f t="shared" si="4"/>
        <v>0</v>
      </c>
      <c r="H25" s="55">
        <f t="shared" si="4"/>
        <v>0</v>
      </c>
      <c r="I25" s="55">
        <f t="shared" si="4"/>
        <v>0</v>
      </c>
      <c r="J25" s="55">
        <f t="shared" si="4"/>
        <v>0</v>
      </c>
      <c r="K25" s="55">
        <f t="shared" si="4"/>
        <v>0</v>
      </c>
      <c r="L25" s="55">
        <f t="shared" si="4"/>
        <v>0</v>
      </c>
      <c r="M25" s="55">
        <f t="shared" si="4"/>
        <v>0</v>
      </c>
      <c r="N25" s="55">
        <f t="shared" si="4"/>
        <v>0</v>
      </c>
      <c r="O25" s="55">
        <f t="shared" si="4"/>
        <v>0</v>
      </c>
      <c r="P25" s="50"/>
      <c r="Q25" s="55">
        <f t="shared" si="1"/>
        <v>0</v>
      </c>
      <c r="R25" s="45"/>
      <c r="S25" s="45"/>
      <c r="T25" s="45"/>
      <c r="U25" s="45"/>
      <c r="V25" s="45"/>
      <c r="W25" s="45"/>
      <c r="X25" s="45"/>
      <c r="Y25" s="45"/>
      <c r="Z25" s="45"/>
    </row>
    <row r="26" spans="2:26" x14ac:dyDescent="0.25">
      <c r="B26" s="83" t="s">
        <v>184</v>
      </c>
      <c r="C26" s="45"/>
      <c r="D26" s="49" t="s">
        <v>162</v>
      </c>
      <c r="E26" s="72"/>
      <c r="F26" s="72"/>
      <c r="G26" s="72"/>
      <c r="H26" s="72"/>
      <c r="I26" s="72"/>
      <c r="J26" s="72"/>
      <c r="K26" s="72"/>
      <c r="L26" s="72"/>
      <c r="M26" s="72"/>
      <c r="N26" s="72"/>
      <c r="O26" s="72"/>
      <c r="P26" s="50"/>
      <c r="Q26" s="55">
        <f t="shared" si="1"/>
        <v>0</v>
      </c>
      <c r="R26" s="45"/>
      <c r="S26" s="45"/>
      <c r="T26" s="45"/>
      <c r="U26" s="45"/>
      <c r="V26" s="45"/>
      <c r="W26" s="45"/>
      <c r="X26" s="45"/>
      <c r="Y26" s="45"/>
      <c r="Z26" s="45"/>
    </row>
    <row r="27" spans="2:26" x14ac:dyDescent="0.25">
      <c r="B27" s="83" t="s">
        <v>185</v>
      </c>
      <c r="C27" s="45"/>
      <c r="D27" s="49" t="s">
        <v>162</v>
      </c>
      <c r="E27" s="72"/>
      <c r="F27" s="72"/>
      <c r="G27" s="72"/>
      <c r="H27" s="72"/>
      <c r="I27" s="72"/>
      <c r="J27" s="72"/>
      <c r="K27" s="72"/>
      <c r="L27" s="72"/>
      <c r="M27" s="72"/>
      <c r="N27" s="72"/>
      <c r="O27" s="72"/>
      <c r="P27" s="50"/>
      <c r="Q27" s="55">
        <f t="shared" si="1"/>
        <v>0</v>
      </c>
      <c r="R27" s="45"/>
      <c r="S27" s="45"/>
      <c r="T27" s="45"/>
      <c r="U27" s="45"/>
      <c r="V27" s="45"/>
      <c r="W27" s="45"/>
      <c r="X27" s="45"/>
      <c r="Y27" s="45"/>
      <c r="Z27" s="45"/>
    </row>
    <row r="28" spans="2:26" x14ac:dyDescent="0.25">
      <c r="B28" s="83" t="s">
        <v>186</v>
      </c>
      <c r="C28" s="45"/>
      <c r="D28" s="49" t="s">
        <v>162</v>
      </c>
      <c r="E28" s="72"/>
      <c r="F28" s="72"/>
      <c r="G28" s="72"/>
      <c r="H28" s="72"/>
      <c r="I28" s="72"/>
      <c r="J28" s="72"/>
      <c r="K28" s="72"/>
      <c r="L28" s="72"/>
      <c r="M28" s="72"/>
      <c r="N28" s="72"/>
      <c r="O28" s="72"/>
      <c r="P28" s="50"/>
      <c r="Q28" s="55">
        <f t="shared" si="1"/>
        <v>0</v>
      </c>
      <c r="R28" s="45"/>
      <c r="S28" s="45"/>
      <c r="T28" s="45"/>
      <c r="U28" s="45"/>
      <c r="V28" s="45"/>
      <c r="W28" s="45"/>
      <c r="X28" s="45"/>
      <c r="Y28" s="45"/>
      <c r="Z28" s="45"/>
    </row>
    <row r="29" spans="2:26" x14ac:dyDescent="0.25">
      <c r="B29" s="83" t="s">
        <v>111</v>
      </c>
      <c r="C29" s="45"/>
      <c r="D29" s="49" t="s">
        <v>162</v>
      </c>
      <c r="E29" s="72"/>
      <c r="F29" s="72"/>
      <c r="G29" s="72"/>
      <c r="H29" s="72"/>
      <c r="I29" s="72"/>
      <c r="J29" s="72"/>
      <c r="K29" s="72"/>
      <c r="L29" s="72"/>
      <c r="M29" s="72"/>
      <c r="N29" s="72"/>
      <c r="O29" s="72"/>
      <c r="P29" s="50"/>
      <c r="Q29" s="55">
        <f t="shared" si="1"/>
        <v>0</v>
      </c>
      <c r="R29" s="45"/>
      <c r="S29" s="45"/>
      <c r="T29" s="45"/>
      <c r="U29" s="45"/>
      <c r="V29" s="45"/>
      <c r="W29" s="45"/>
      <c r="X29" s="45"/>
      <c r="Y29" s="45"/>
      <c r="Z29" s="45"/>
    </row>
    <row r="30" spans="2:26" x14ac:dyDescent="0.25">
      <c r="B30" s="91"/>
      <c r="C30" s="45"/>
      <c r="D30" s="49"/>
      <c r="E30" s="92"/>
      <c r="F30" s="92"/>
      <c r="G30" s="92"/>
      <c r="H30" s="92"/>
      <c r="I30" s="92"/>
      <c r="J30" s="92"/>
      <c r="K30" s="92"/>
      <c r="L30" s="92"/>
      <c r="M30" s="92"/>
      <c r="N30" s="92"/>
      <c r="O30" s="92"/>
      <c r="P30" s="50"/>
      <c r="Q30" s="50"/>
      <c r="R30" s="45"/>
      <c r="S30" s="45"/>
      <c r="T30" s="45"/>
      <c r="U30" s="45"/>
      <c r="V30" s="45"/>
      <c r="W30" s="45"/>
      <c r="X30" s="45"/>
      <c r="Y30" s="45"/>
      <c r="Z30" s="45"/>
    </row>
    <row r="31" spans="2:26" x14ac:dyDescent="0.25">
      <c r="B31" s="101" t="s">
        <v>193</v>
      </c>
      <c r="C31" s="45"/>
      <c r="D31" s="49" t="s">
        <v>162</v>
      </c>
      <c r="E31" s="72"/>
      <c r="F31" s="72"/>
      <c r="G31" s="72"/>
      <c r="H31" s="72"/>
      <c r="I31" s="72"/>
      <c r="J31" s="72"/>
      <c r="K31" s="72"/>
      <c r="L31" s="72"/>
      <c r="M31" s="72"/>
      <c r="N31" s="72"/>
      <c r="O31" s="72"/>
      <c r="P31" s="50"/>
      <c r="Q31" s="55">
        <f t="shared" si="1"/>
        <v>0</v>
      </c>
      <c r="R31" s="45"/>
      <c r="S31" s="45"/>
      <c r="T31" s="45"/>
      <c r="U31" s="45"/>
      <c r="V31" s="45"/>
      <c r="W31" s="45"/>
      <c r="X31" s="45"/>
      <c r="Y31" s="45"/>
      <c r="Z31" s="45"/>
    </row>
    <row r="32" spans="2:26" x14ac:dyDescent="0.25">
      <c r="B32" s="40"/>
      <c r="C32" s="45"/>
      <c r="D32" s="49"/>
      <c r="E32" s="50"/>
      <c r="F32" s="50"/>
      <c r="G32" s="50"/>
      <c r="H32" s="50"/>
      <c r="I32" s="50"/>
      <c r="J32" s="50"/>
      <c r="K32" s="50"/>
      <c r="L32" s="50"/>
      <c r="M32" s="50"/>
      <c r="N32" s="50"/>
      <c r="O32" s="50"/>
      <c r="P32" s="50"/>
      <c r="Q32" s="50"/>
      <c r="R32" s="45"/>
      <c r="S32" s="45"/>
      <c r="T32" s="45"/>
      <c r="U32" s="45"/>
      <c r="V32" s="45"/>
      <c r="W32" s="45"/>
      <c r="X32" s="45"/>
      <c r="Y32" s="45"/>
      <c r="Z32" s="45"/>
    </row>
    <row r="33" spans="2:26" x14ac:dyDescent="0.25">
      <c r="B33" s="62" t="s">
        <v>154</v>
      </c>
      <c r="C33" s="45"/>
      <c r="D33" s="49"/>
      <c r="E33" s="55">
        <f>SUM(E34:E37)</f>
        <v>0</v>
      </c>
      <c r="F33" s="55">
        <f t="shared" ref="F33:O33" si="5">SUM(F34:F37)</f>
        <v>0</v>
      </c>
      <c r="G33" s="55">
        <f t="shared" si="5"/>
        <v>0</v>
      </c>
      <c r="H33" s="55">
        <f t="shared" si="5"/>
        <v>0</v>
      </c>
      <c r="I33" s="55">
        <f t="shared" si="5"/>
        <v>0</v>
      </c>
      <c r="J33" s="55">
        <f t="shared" si="5"/>
        <v>0</v>
      </c>
      <c r="K33" s="55">
        <f t="shared" si="5"/>
        <v>0</v>
      </c>
      <c r="L33" s="55">
        <f t="shared" si="5"/>
        <v>0</v>
      </c>
      <c r="M33" s="55">
        <f t="shared" si="5"/>
        <v>0</v>
      </c>
      <c r="N33" s="55">
        <f t="shared" si="5"/>
        <v>0</v>
      </c>
      <c r="O33" s="55">
        <f t="shared" si="5"/>
        <v>0</v>
      </c>
      <c r="P33" s="50"/>
      <c r="Q33" s="55">
        <f t="shared" si="1"/>
        <v>0</v>
      </c>
      <c r="R33" s="45"/>
      <c r="S33" s="45"/>
      <c r="T33" s="45"/>
      <c r="U33" s="45"/>
      <c r="V33" s="45"/>
      <c r="W33" s="45"/>
      <c r="X33" s="45"/>
      <c r="Y33" s="45"/>
      <c r="Z33" s="45"/>
    </row>
    <row r="34" spans="2:26" x14ac:dyDescent="0.25">
      <c r="B34" s="87" t="s">
        <v>175</v>
      </c>
      <c r="C34" s="45"/>
      <c r="D34" s="49" t="s">
        <v>163</v>
      </c>
      <c r="E34" s="88">
        <f>E51</f>
        <v>0</v>
      </c>
      <c r="F34" s="88">
        <f t="shared" ref="F34:O34" si="6">F51</f>
        <v>0</v>
      </c>
      <c r="G34" s="88">
        <f t="shared" si="6"/>
        <v>0</v>
      </c>
      <c r="H34" s="88">
        <f t="shared" si="6"/>
        <v>0</v>
      </c>
      <c r="I34" s="88">
        <f t="shared" si="6"/>
        <v>0</v>
      </c>
      <c r="J34" s="88">
        <f t="shared" si="6"/>
        <v>0</v>
      </c>
      <c r="K34" s="88">
        <f t="shared" si="6"/>
        <v>0</v>
      </c>
      <c r="L34" s="88">
        <f t="shared" si="6"/>
        <v>0</v>
      </c>
      <c r="M34" s="88">
        <f t="shared" si="6"/>
        <v>0</v>
      </c>
      <c r="N34" s="88">
        <f t="shared" si="6"/>
        <v>0</v>
      </c>
      <c r="O34" s="88">
        <f t="shared" si="6"/>
        <v>0</v>
      </c>
      <c r="P34" s="50"/>
      <c r="Q34" s="55">
        <f t="shared" si="1"/>
        <v>0</v>
      </c>
      <c r="R34" s="45"/>
      <c r="S34" s="45"/>
      <c r="T34" s="45"/>
      <c r="U34" s="45"/>
      <c r="V34" s="45"/>
      <c r="W34" s="45"/>
      <c r="X34" s="45"/>
      <c r="Y34" s="45"/>
      <c r="Z34" s="45"/>
    </row>
    <row r="35" spans="2:26" x14ac:dyDescent="0.25">
      <c r="B35" s="83" t="s">
        <v>156</v>
      </c>
      <c r="C35" s="45"/>
      <c r="D35" s="49" t="s">
        <v>163</v>
      </c>
      <c r="E35" s="72"/>
      <c r="F35" s="72"/>
      <c r="G35" s="72"/>
      <c r="H35" s="72"/>
      <c r="I35" s="72"/>
      <c r="J35" s="72"/>
      <c r="K35" s="72"/>
      <c r="L35" s="72"/>
      <c r="M35" s="72"/>
      <c r="N35" s="72"/>
      <c r="O35" s="72"/>
      <c r="P35" s="50"/>
      <c r="Q35" s="55">
        <f t="shared" si="1"/>
        <v>0</v>
      </c>
      <c r="R35" s="45"/>
      <c r="S35" s="45"/>
      <c r="T35" s="45"/>
      <c r="U35" s="45"/>
      <c r="V35" s="45"/>
      <c r="W35" s="45"/>
      <c r="X35" s="45"/>
      <c r="Y35" s="45"/>
      <c r="Z35" s="45"/>
    </row>
    <row r="36" spans="2:26" x14ac:dyDescent="0.25">
      <c r="B36" s="83" t="s">
        <v>157</v>
      </c>
      <c r="C36" s="45"/>
      <c r="D36" s="49" t="s">
        <v>163</v>
      </c>
      <c r="E36" s="72"/>
      <c r="F36" s="72"/>
      <c r="G36" s="72"/>
      <c r="H36" s="72"/>
      <c r="I36" s="72"/>
      <c r="J36" s="72"/>
      <c r="K36" s="72"/>
      <c r="L36" s="72"/>
      <c r="M36" s="72"/>
      <c r="N36" s="72"/>
      <c r="O36" s="72"/>
      <c r="P36" s="50"/>
      <c r="Q36" s="55">
        <f t="shared" si="1"/>
        <v>0</v>
      </c>
      <c r="R36" s="45"/>
      <c r="S36" s="45"/>
      <c r="T36" s="45"/>
      <c r="U36" s="45"/>
      <c r="V36" s="45"/>
      <c r="W36" s="45"/>
      <c r="X36" s="45"/>
      <c r="Y36" s="45"/>
      <c r="Z36" s="45"/>
    </row>
    <row r="37" spans="2:26" x14ac:dyDescent="0.25">
      <c r="B37" s="83" t="s">
        <v>111</v>
      </c>
      <c r="C37" s="45"/>
      <c r="D37" s="49" t="s">
        <v>163</v>
      </c>
      <c r="E37" s="72"/>
      <c r="F37" s="72"/>
      <c r="G37" s="72"/>
      <c r="H37" s="72"/>
      <c r="I37" s="72"/>
      <c r="J37" s="72"/>
      <c r="K37" s="72"/>
      <c r="L37" s="72"/>
      <c r="M37" s="72"/>
      <c r="N37" s="72"/>
      <c r="O37" s="72"/>
      <c r="P37" s="50"/>
      <c r="Q37" s="55">
        <f t="shared" si="1"/>
        <v>0</v>
      </c>
      <c r="R37" s="45"/>
      <c r="S37" s="45"/>
      <c r="T37" s="45"/>
      <c r="U37" s="45"/>
      <c r="V37" s="45"/>
      <c r="W37" s="45"/>
      <c r="X37" s="45"/>
      <c r="Y37" s="45"/>
      <c r="Z37" s="45"/>
    </row>
    <row r="38" spans="2:26" x14ac:dyDescent="0.25">
      <c r="B38" s="40"/>
      <c r="C38" s="45"/>
      <c r="D38" s="45"/>
      <c r="E38" s="50"/>
      <c r="F38" s="50"/>
      <c r="G38" s="50"/>
      <c r="H38" s="50"/>
      <c r="I38" s="50"/>
      <c r="J38" s="50"/>
      <c r="K38" s="50"/>
      <c r="L38" s="50"/>
      <c r="M38" s="50"/>
      <c r="N38" s="50"/>
      <c r="O38" s="50"/>
      <c r="P38" s="50"/>
      <c r="Q38" s="50"/>
      <c r="R38" s="45"/>
      <c r="S38" s="45"/>
      <c r="T38" s="45"/>
      <c r="U38" s="45"/>
      <c r="V38" s="45"/>
      <c r="W38" s="45"/>
      <c r="X38" s="45"/>
      <c r="Y38" s="45"/>
      <c r="Z38" s="45"/>
    </row>
    <row r="39" spans="2:26" x14ac:dyDescent="0.25">
      <c r="B39" s="62" t="s">
        <v>197</v>
      </c>
      <c r="C39" s="45"/>
      <c r="D39" s="45"/>
      <c r="E39" s="55">
        <f t="shared" ref="E39:O39" si="7">E13+E19+E31+E33</f>
        <v>0</v>
      </c>
      <c r="F39" s="55">
        <f t="shared" si="7"/>
        <v>0</v>
      </c>
      <c r="G39" s="55">
        <f t="shared" si="7"/>
        <v>0</v>
      </c>
      <c r="H39" s="55">
        <f t="shared" si="7"/>
        <v>0</v>
      </c>
      <c r="I39" s="55">
        <f t="shared" si="7"/>
        <v>0</v>
      </c>
      <c r="J39" s="55">
        <f t="shared" si="7"/>
        <v>0</v>
      </c>
      <c r="K39" s="55">
        <f t="shared" si="7"/>
        <v>0</v>
      </c>
      <c r="L39" s="55">
        <f t="shared" si="7"/>
        <v>0</v>
      </c>
      <c r="M39" s="55">
        <f t="shared" si="7"/>
        <v>0</v>
      </c>
      <c r="N39" s="55">
        <f t="shared" si="7"/>
        <v>0</v>
      </c>
      <c r="O39" s="55">
        <f t="shared" si="7"/>
        <v>0</v>
      </c>
      <c r="P39" s="50"/>
      <c r="Q39" s="55">
        <f t="shared" si="1"/>
        <v>0</v>
      </c>
      <c r="R39" s="45"/>
      <c r="S39" s="45"/>
      <c r="T39" s="45"/>
      <c r="U39" s="45"/>
      <c r="V39" s="45"/>
      <c r="W39" s="45"/>
      <c r="X39" s="45"/>
      <c r="Y39" s="45"/>
      <c r="Z39" s="45"/>
    </row>
    <row r="40" spans="2:26" x14ac:dyDescent="0.25">
      <c r="B40" s="40"/>
      <c r="C40" s="45"/>
      <c r="D40" s="45"/>
      <c r="E40" s="45"/>
      <c r="F40" s="45"/>
      <c r="G40" s="45"/>
      <c r="H40" s="45"/>
      <c r="I40" s="45"/>
      <c r="J40" s="45"/>
      <c r="K40" s="45"/>
      <c r="L40" s="45"/>
      <c r="M40" s="45"/>
      <c r="N40" s="45"/>
      <c r="O40" s="45"/>
      <c r="P40" s="45"/>
      <c r="Q40" s="50"/>
      <c r="R40" s="45"/>
      <c r="S40" s="45"/>
      <c r="T40" s="45"/>
      <c r="U40" s="45"/>
      <c r="V40" s="45"/>
      <c r="W40" s="45"/>
      <c r="X40" s="45"/>
      <c r="Y40" s="45"/>
      <c r="Z40" s="45"/>
    </row>
    <row r="41" spans="2:26" x14ac:dyDescent="0.25">
      <c r="B41" s="52" t="s">
        <v>199</v>
      </c>
      <c r="C41" s="45"/>
      <c r="D41" s="45"/>
      <c r="E41" s="61" t="s">
        <v>171</v>
      </c>
      <c r="F41" s="45"/>
      <c r="G41" s="45"/>
      <c r="H41" s="45"/>
      <c r="I41" s="45"/>
      <c r="J41" s="45"/>
      <c r="K41" s="45"/>
      <c r="L41" s="45"/>
      <c r="M41" s="45"/>
      <c r="N41" s="45"/>
      <c r="O41" s="45"/>
      <c r="P41" s="45"/>
      <c r="Q41" s="50"/>
      <c r="R41" s="45"/>
      <c r="S41" s="45"/>
      <c r="T41" s="45"/>
      <c r="U41" s="45"/>
      <c r="V41" s="45"/>
      <c r="W41" s="45"/>
      <c r="X41" s="45"/>
      <c r="Y41" s="45"/>
      <c r="Z41" s="45"/>
    </row>
    <row r="42" spans="2:26" x14ac:dyDescent="0.25">
      <c r="B42" s="40"/>
      <c r="C42" s="45"/>
      <c r="D42" s="45"/>
      <c r="E42" s="45"/>
      <c r="F42" s="45"/>
      <c r="G42" s="45"/>
      <c r="H42" s="45"/>
      <c r="I42" s="45"/>
      <c r="J42" s="45"/>
      <c r="K42" s="45"/>
      <c r="L42" s="45"/>
      <c r="M42" s="45"/>
      <c r="N42" s="45"/>
      <c r="O42" s="45"/>
      <c r="P42" s="45"/>
      <c r="Q42" s="50"/>
      <c r="R42" s="45"/>
      <c r="S42" s="45"/>
      <c r="T42" s="45"/>
      <c r="U42" s="45"/>
      <c r="V42" s="45"/>
      <c r="W42" s="45"/>
      <c r="X42" s="45"/>
      <c r="Y42" s="45"/>
      <c r="Z42" s="45"/>
    </row>
    <row r="43" spans="2:26" x14ac:dyDescent="0.25">
      <c r="B43" s="56" t="s">
        <v>159</v>
      </c>
      <c r="C43" s="57"/>
      <c r="D43" s="57"/>
      <c r="E43" s="81">
        <f t="shared" ref="E43:O43" si="8">IFERROR(1/((1+$E$6+E10)^E9),"-")</f>
        <v>0.94339622641509424</v>
      </c>
      <c r="F43" s="81">
        <f t="shared" si="8"/>
        <v>0.88999644001423983</v>
      </c>
      <c r="G43" s="81">
        <f t="shared" si="8"/>
        <v>0.8396192830323016</v>
      </c>
      <c r="H43" s="81">
        <f t="shared" si="8"/>
        <v>0.79209366323802044</v>
      </c>
      <c r="I43" s="81">
        <f t="shared" si="8"/>
        <v>0.74725817286605689</v>
      </c>
      <c r="J43" s="81">
        <f t="shared" si="8"/>
        <v>0.70496054043967626</v>
      </c>
      <c r="K43" s="81">
        <f t="shared" si="8"/>
        <v>0.66505711362233599</v>
      </c>
      <c r="L43" s="81">
        <f t="shared" si="8"/>
        <v>0.62741237134182648</v>
      </c>
      <c r="M43" s="81">
        <f t="shared" si="8"/>
        <v>0.59189846353002495</v>
      </c>
      <c r="N43" s="81">
        <f t="shared" si="8"/>
        <v>0.55839477691511785</v>
      </c>
      <c r="O43" s="81" t="str">
        <f t="shared" si="8"/>
        <v>-</v>
      </c>
      <c r="P43" s="45"/>
      <c r="Q43" s="50"/>
      <c r="R43" s="45"/>
      <c r="S43" s="45"/>
      <c r="T43" s="45"/>
      <c r="U43" s="45"/>
      <c r="V43" s="45"/>
      <c r="W43" s="45"/>
      <c r="X43" s="45"/>
      <c r="Y43" s="45"/>
      <c r="Z43" s="45"/>
    </row>
    <row r="44" spans="2:26" x14ac:dyDescent="0.25">
      <c r="B44" s="56" t="s">
        <v>160</v>
      </c>
      <c r="C44" s="57"/>
      <c r="D44" s="57"/>
      <c r="E44" s="82">
        <f>IFERROR(E39*E43,"-")</f>
        <v>0</v>
      </c>
      <c r="F44" s="82">
        <f t="shared" ref="F44:O44" si="9">IFERROR(F39*F43,"-")</f>
        <v>0</v>
      </c>
      <c r="G44" s="82">
        <f t="shared" si="9"/>
        <v>0</v>
      </c>
      <c r="H44" s="82">
        <f t="shared" si="9"/>
        <v>0</v>
      </c>
      <c r="I44" s="82">
        <f t="shared" si="9"/>
        <v>0</v>
      </c>
      <c r="J44" s="82">
        <f t="shared" si="9"/>
        <v>0</v>
      </c>
      <c r="K44" s="82">
        <f t="shared" si="9"/>
        <v>0</v>
      </c>
      <c r="L44" s="82">
        <f t="shared" si="9"/>
        <v>0</v>
      </c>
      <c r="M44" s="82">
        <f t="shared" si="9"/>
        <v>0</v>
      </c>
      <c r="N44" s="82">
        <f t="shared" si="9"/>
        <v>0</v>
      </c>
      <c r="O44" s="82" t="str">
        <f t="shared" si="9"/>
        <v>-</v>
      </c>
      <c r="P44" s="50"/>
      <c r="Q44" s="55">
        <f t="shared" si="1"/>
        <v>0</v>
      </c>
      <c r="R44" s="45"/>
      <c r="S44" s="45"/>
      <c r="T44" s="45"/>
      <c r="U44" s="45"/>
      <c r="V44" s="45"/>
      <c r="W44" s="45"/>
      <c r="X44" s="45"/>
      <c r="Y44" s="45"/>
      <c r="Z44" s="45"/>
    </row>
    <row r="45" spans="2:26" x14ac:dyDescent="0.25">
      <c r="B45" s="40"/>
      <c r="C45" s="45"/>
      <c r="D45" s="45"/>
      <c r="E45" s="50"/>
      <c r="F45" s="50"/>
      <c r="G45" s="50"/>
      <c r="H45" s="50"/>
      <c r="I45" s="50"/>
      <c r="J45" s="50"/>
      <c r="K45" s="50"/>
      <c r="L45" s="50"/>
      <c r="M45" s="50"/>
      <c r="N45" s="50"/>
      <c r="O45" s="50"/>
      <c r="P45" s="50"/>
      <c r="Q45" s="50"/>
      <c r="R45" s="45"/>
      <c r="S45" s="45"/>
      <c r="T45" s="45"/>
      <c r="U45" s="45"/>
      <c r="V45" s="45"/>
      <c r="W45" s="45"/>
      <c r="X45" s="45"/>
      <c r="Y45" s="45"/>
      <c r="Z45" s="45"/>
    </row>
    <row r="46" spans="2:26" x14ac:dyDescent="0.25">
      <c r="B46" s="52" t="s">
        <v>177</v>
      </c>
      <c r="C46" s="45"/>
      <c r="D46" s="45"/>
      <c r="E46" s="60">
        <f>SUM(E44:O44)</f>
        <v>0</v>
      </c>
      <c r="F46" s="50"/>
      <c r="G46" s="50"/>
      <c r="H46" s="50"/>
      <c r="I46" s="50"/>
      <c r="J46" s="50"/>
      <c r="K46" s="50"/>
      <c r="L46" s="50"/>
      <c r="M46" s="50"/>
      <c r="N46" s="50"/>
      <c r="O46" s="50"/>
      <c r="P46" s="50"/>
      <c r="Q46" s="50"/>
      <c r="R46" s="45"/>
      <c r="S46" s="45"/>
      <c r="T46" s="45"/>
      <c r="U46" s="45"/>
      <c r="V46" s="45"/>
      <c r="W46" s="45"/>
      <c r="X46" s="45"/>
      <c r="Y46" s="45"/>
      <c r="Z46" s="45"/>
    </row>
    <row r="47" spans="2:26" s="76" customFormat="1" ht="4.2" x14ac:dyDescent="0.15">
      <c r="B47" s="73"/>
      <c r="C47" s="74"/>
      <c r="D47" s="74"/>
      <c r="E47" s="77"/>
      <c r="F47" s="86"/>
      <c r="G47" s="86"/>
      <c r="H47" s="86"/>
      <c r="I47" s="86"/>
      <c r="J47" s="86"/>
      <c r="K47" s="86"/>
      <c r="L47" s="86"/>
      <c r="M47" s="86"/>
      <c r="N47" s="86"/>
      <c r="O47" s="86"/>
      <c r="P47" s="86"/>
      <c r="Q47" s="86"/>
      <c r="R47" s="74"/>
      <c r="S47" s="74"/>
      <c r="T47" s="74"/>
      <c r="U47" s="74"/>
      <c r="V47" s="74"/>
      <c r="W47" s="74"/>
      <c r="X47" s="74"/>
      <c r="Y47" s="74"/>
      <c r="Z47" s="74"/>
    </row>
    <row r="48" spans="2:26" x14ac:dyDescent="0.25">
      <c r="B48" s="78"/>
      <c r="C48" s="79"/>
      <c r="D48" s="79"/>
      <c r="E48" s="80"/>
      <c r="F48" s="171"/>
      <c r="G48" s="171"/>
      <c r="H48" s="171"/>
      <c r="I48" s="171"/>
      <c r="J48" s="171"/>
      <c r="K48" s="171"/>
      <c r="L48" s="171"/>
      <c r="M48" s="171"/>
      <c r="N48" s="171"/>
      <c r="O48" s="171"/>
      <c r="P48" s="50"/>
      <c r="Q48" s="50"/>
      <c r="R48" s="45"/>
      <c r="S48" s="45"/>
      <c r="T48" s="45"/>
      <c r="U48" s="45"/>
      <c r="V48" s="45"/>
      <c r="W48" s="45"/>
      <c r="X48" s="45"/>
      <c r="Y48" s="45"/>
      <c r="Z48" s="45"/>
    </row>
    <row r="49" spans="2:26" s="76" customFormat="1" ht="4.2" x14ac:dyDescent="0.15">
      <c r="B49" s="73"/>
      <c r="C49" s="74"/>
      <c r="D49" s="74"/>
      <c r="E49" s="77"/>
      <c r="F49" s="86"/>
      <c r="G49" s="86"/>
      <c r="H49" s="86"/>
      <c r="I49" s="86"/>
      <c r="J49" s="86"/>
      <c r="K49" s="86"/>
      <c r="L49" s="86"/>
      <c r="M49" s="86"/>
      <c r="N49" s="86"/>
      <c r="O49" s="86"/>
      <c r="P49" s="86"/>
      <c r="Q49" s="86"/>
      <c r="R49" s="74"/>
      <c r="S49" s="74"/>
      <c r="T49" s="74"/>
      <c r="U49" s="74"/>
      <c r="V49" s="74"/>
      <c r="W49" s="74"/>
      <c r="X49" s="74"/>
      <c r="Y49" s="74"/>
      <c r="Z49" s="74"/>
    </row>
    <row r="50" spans="2:26" x14ac:dyDescent="0.25">
      <c r="B50" s="47" t="s">
        <v>149</v>
      </c>
      <c r="C50" s="45"/>
      <c r="D50" s="45"/>
      <c r="E50" s="70"/>
      <c r="F50" s="50"/>
      <c r="G50" s="50"/>
      <c r="H50" s="50"/>
      <c r="I50" s="50"/>
      <c r="J50" s="50"/>
      <c r="K50" s="50"/>
      <c r="L50" s="50"/>
      <c r="M50" s="50"/>
      <c r="N50" s="50"/>
      <c r="O50" s="50"/>
      <c r="P50" s="50"/>
      <c r="Q50" s="50"/>
      <c r="R50" s="45"/>
      <c r="S50" s="45"/>
      <c r="T50" s="45"/>
      <c r="U50" s="45"/>
      <c r="V50" s="45"/>
      <c r="W50" s="45"/>
      <c r="X50" s="45"/>
      <c r="Y50" s="45"/>
      <c r="Z50" s="45"/>
    </row>
    <row r="51" spans="2:26" x14ac:dyDescent="0.25">
      <c r="B51" s="71" t="s">
        <v>176</v>
      </c>
      <c r="C51" s="45"/>
      <c r="D51" s="49" t="s">
        <v>162</v>
      </c>
      <c r="E51" s="72"/>
      <c r="F51" s="72"/>
      <c r="G51" s="72"/>
      <c r="H51" s="72"/>
      <c r="I51" s="72"/>
      <c r="J51" s="72"/>
      <c r="K51" s="72"/>
      <c r="L51" s="72"/>
      <c r="M51" s="72"/>
      <c r="N51" s="72"/>
      <c r="O51" s="72"/>
      <c r="P51" s="50"/>
      <c r="Q51" s="55">
        <f t="shared" si="1"/>
        <v>0</v>
      </c>
      <c r="R51" s="45"/>
      <c r="S51" s="45"/>
      <c r="T51" s="45"/>
      <c r="U51" s="45"/>
      <c r="V51" s="45"/>
      <c r="W51" s="45"/>
      <c r="X51" s="45"/>
      <c r="Y51" s="45"/>
      <c r="Z51" s="45"/>
    </row>
    <row r="52" spans="2:26" x14ac:dyDescent="0.25">
      <c r="B52" s="94" t="s">
        <v>193</v>
      </c>
      <c r="C52" s="45"/>
      <c r="D52" s="49" t="s">
        <v>163</v>
      </c>
      <c r="E52" s="88">
        <f>E31</f>
        <v>0</v>
      </c>
      <c r="F52" s="88">
        <f t="shared" ref="F52:O52" si="10">F31</f>
        <v>0</v>
      </c>
      <c r="G52" s="88">
        <f t="shared" si="10"/>
        <v>0</v>
      </c>
      <c r="H52" s="88">
        <f t="shared" si="10"/>
        <v>0</v>
      </c>
      <c r="I52" s="88">
        <f t="shared" si="10"/>
        <v>0</v>
      </c>
      <c r="J52" s="88">
        <f t="shared" si="10"/>
        <v>0</v>
      </c>
      <c r="K52" s="88">
        <f t="shared" si="10"/>
        <v>0</v>
      </c>
      <c r="L52" s="88">
        <f t="shared" si="10"/>
        <v>0</v>
      </c>
      <c r="M52" s="88">
        <f t="shared" si="10"/>
        <v>0</v>
      </c>
      <c r="N52" s="88">
        <f t="shared" si="10"/>
        <v>0</v>
      </c>
      <c r="O52" s="88">
        <f t="shared" si="10"/>
        <v>0</v>
      </c>
      <c r="P52" s="50"/>
      <c r="Q52" s="55">
        <f t="shared" si="1"/>
        <v>0</v>
      </c>
      <c r="R52" s="45"/>
      <c r="S52" s="45"/>
      <c r="T52" s="45"/>
      <c r="U52" s="45"/>
      <c r="V52" s="45"/>
      <c r="W52" s="45"/>
      <c r="X52" s="45"/>
      <c r="Y52" s="45"/>
      <c r="Z52" s="45"/>
    </row>
    <row r="53" spans="2:26" x14ac:dyDescent="0.25">
      <c r="B53" s="56" t="s">
        <v>195</v>
      </c>
      <c r="C53" s="45"/>
      <c r="D53" s="45"/>
      <c r="E53" s="90">
        <f>IFERROR((E51+E52)*E43,"-")</f>
        <v>0</v>
      </c>
      <c r="F53" s="90">
        <f t="shared" ref="F53:O53" si="11">IFERROR((F51+F52)*F43,"-")</f>
        <v>0</v>
      </c>
      <c r="G53" s="90">
        <f t="shared" si="11"/>
        <v>0</v>
      </c>
      <c r="H53" s="90">
        <f t="shared" si="11"/>
        <v>0</v>
      </c>
      <c r="I53" s="90">
        <f t="shared" si="11"/>
        <v>0</v>
      </c>
      <c r="J53" s="90">
        <f t="shared" si="11"/>
        <v>0</v>
      </c>
      <c r="K53" s="90">
        <f t="shared" si="11"/>
        <v>0</v>
      </c>
      <c r="L53" s="90">
        <f t="shared" si="11"/>
        <v>0</v>
      </c>
      <c r="M53" s="90">
        <f t="shared" si="11"/>
        <v>0</v>
      </c>
      <c r="N53" s="90">
        <f t="shared" si="11"/>
        <v>0</v>
      </c>
      <c r="O53" s="90" t="str">
        <f t="shared" si="11"/>
        <v>-</v>
      </c>
      <c r="P53" s="50"/>
      <c r="Q53" s="55">
        <f t="shared" si="1"/>
        <v>0</v>
      </c>
      <c r="R53" s="45"/>
      <c r="S53" s="45"/>
      <c r="T53" s="45"/>
      <c r="U53" s="45"/>
      <c r="V53" s="45"/>
      <c r="W53" s="45"/>
      <c r="X53" s="45"/>
      <c r="Y53" s="45"/>
      <c r="Z53" s="45"/>
    </row>
    <row r="54" spans="2:26" x14ac:dyDescent="0.25">
      <c r="B54" s="47"/>
      <c r="C54" s="45"/>
      <c r="D54" s="45"/>
      <c r="E54" s="70"/>
      <c r="F54" s="50"/>
      <c r="G54" s="50"/>
      <c r="H54" s="50"/>
      <c r="I54" s="50"/>
      <c r="J54" s="50"/>
      <c r="K54" s="50"/>
      <c r="L54" s="50"/>
      <c r="M54" s="50"/>
      <c r="N54" s="50"/>
      <c r="O54" s="50"/>
      <c r="P54" s="50"/>
      <c r="Q54" s="50"/>
      <c r="R54" s="45"/>
      <c r="S54" s="45"/>
      <c r="T54" s="45"/>
      <c r="U54" s="45"/>
      <c r="V54" s="45"/>
      <c r="W54" s="45"/>
      <c r="X54" s="45"/>
      <c r="Y54" s="45"/>
      <c r="Z54" s="45"/>
    </row>
    <row r="55" spans="2:26" x14ac:dyDescent="0.25">
      <c r="B55" s="52" t="s">
        <v>164</v>
      </c>
      <c r="C55" s="45"/>
      <c r="D55" s="45"/>
      <c r="E55" s="60">
        <f>SUM(E53:O53)</f>
        <v>0</v>
      </c>
      <c r="F55" s="170" t="s">
        <v>217</v>
      </c>
      <c r="G55" s="50"/>
      <c r="H55" s="50"/>
      <c r="I55" s="50"/>
      <c r="J55" s="50"/>
      <c r="K55" s="50"/>
      <c r="L55" s="50"/>
      <c r="M55" s="50"/>
      <c r="N55" s="50"/>
      <c r="O55" s="50"/>
      <c r="P55" s="50"/>
      <c r="Q55" s="50"/>
      <c r="R55" s="45"/>
      <c r="S55" s="45"/>
      <c r="T55" s="45"/>
      <c r="U55" s="45"/>
      <c r="V55" s="45"/>
      <c r="W55" s="45"/>
      <c r="X55" s="45"/>
      <c r="Y55" s="45"/>
      <c r="Z55" s="45"/>
    </row>
    <row r="56" spans="2:26" x14ac:dyDescent="0.25">
      <c r="B56" s="47"/>
      <c r="C56" s="45"/>
      <c r="D56" s="45"/>
      <c r="E56" s="70"/>
      <c r="F56" s="50"/>
      <c r="G56" s="50"/>
      <c r="H56" s="50"/>
      <c r="I56" s="50"/>
      <c r="J56" s="50"/>
      <c r="K56" s="50"/>
      <c r="L56" s="50"/>
      <c r="M56" s="50"/>
      <c r="N56" s="50"/>
      <c r="O56" s="50"/>
      <c r="P56" s="50"/>
      <c r="Q56" s="50"/>
      <c r="R56" s="45"/>
      <c r="S56" s="45"/>
      <c r="T56" s="45"/>
      <c r="U56" s="45"/>
      <c r="V56" s="45"/>
      <c r="W56" s="45"/>
      <c r="X56" s="45"/>
      <c r="Y56" s="45"/>
      <c r="Z56" s="45"/>
    </row>
    <row r="57" spans="2:26" x14ac:dyDescent="0.25">
      <c r="B57" s="62" t="s">
        <v>166</v>
      </c>
      <c r="C57" s="45"/>
      <c r="D57" s="45"/>
      <c r="E57" s="55">
        <f>SUM(E58:E60)</f>
        <v>0</v>
      </c>
      <c r="F57" s="55">
        <f t="shared" ref="F57:O57" si="12">SUM(F58:F60)</f>
        <v>0</v>
      </c>
      <c r="G57" s="55">
        <f t="shared" si="12"/>
        <v>0</v>
      </c>
      <c r="H57" s="55">
        <f t="shared" si="12"/>
        <v>0</v>
      </c>
      <c r="I57" s="55">
        <f t="shared" si="12"/>
        <v>0</v>
      </c>
      <c r="J57" s="55">
        <f t="shared" si="12"/>
        <v>0</v>
      </c>
      <c r="K57" s="55">
        <f t="shared" si="12"/>
        <v>0</v>
      </c>
      <c r="L57" s="55">
        <f t="shared" si="12"/>
        <v>0</v>
      </c>
      <c r="M57" s="55">
        <f t="shared" si="12"/>
        <v>0</v>
      </c>
      <c r="N57" s="55">
        <f t="shared" si="12"/>
        <v>0</v>
      </c>
      <c r="O57" s="55">
        <f t="shared" si="12"/>
        <v>0</v>
      </c>
      <c r="P57" s="50"/>
      <c r="Q57" s="55">
        <f t="shared" si="1"/>
        <v>0</v>
      </c>
      <c r="R57" s="45"/>
      <c r="S57" s="45"/>
      <c r="T57" s="45"/>
      <c r="U57" s="45"/>
      <c r="V57" s="45"/>
      <c r="W57" s="45"/>
      <c r="X57" s="45"/>
      <c r="Y57" s="45"/>
      <c r="Z57" s="45"/>
    </row>
    <row r="58" spans="2:26" x14ac:dyDescent="0.25">
      <c r="B58" s="56" t="s">
        <v>129</v>
      </c>
      <c r="C58" s="57"/>
      <c r="D58" s="58" t="s">
        <v>162</v>
      </c>
      <c r="E58" s="72"/>
      <c r="F58" s="72"/>
      <c r="G58" s="72"/>
      <c r="H58" s="72"/>
      <c r="I58" s="72"/>
      <c r="J58" s="72"/>
      <c r="K58" s="72"/>
      <c r="L58" s="72"/>
      <c r="M58" s="72"/>
      <c r="N58" s="72"/>
      <c r="O58" s="72"/>
      <c r="P58" s="50"/>
      <c r="Q58" s="55">
        <f t="shared" si="1"/>
        <v>0</v>
      </c>
      <c r="R58" s="45"/>
      <c r="S58" s="45"/>
      <c r="T58" s="45"/>
      <c r="U58" s="45"/>
      <c r="V58" s="45"/>
      <c r="W58" s="45"/>
      <c r="X58" s="45"/>
      <c r="Y58" s="45"/>
      <c r="Z58" s="45"/>
    </row>
    <row r="59" spans="2:26" x14ac:dyDescent="0.25">
      <c r="B59" s="56" t="s">
        <v>130</v>
      </c>
      <c r="C59" s="57"/>
      <c r="D59" s="58" t="s">
        <v>162</v>
      </c>
      <c r="E59" s="72"/>
      <c r="F59" s="72"/>
      <c r="G59" s="72"/>
      <c r="H59" s="72"/>
      <c r="I59" s="72"/>
      <c r="J59" s="72"/>
      <c r="K59" s="72"/>
      <c r="L59" s="72"/>
      <c r="M59" s="72"/>
      <c r="N59" s="72"/>
      <c r="O59" s="72"/>
      <c r="P59" s="50"/>
      <c r="Q59" s="55">
        <f t="shared" si="1"/>
        <v>0</v>
      </c>
      <c r="R59" s="45"/>
      <c r="S59" s="45"/>
      <c r="T59" s="45"/>
      <c r="U59" s="45"/>
      <c r="V59" s="45"/>
      <c r="W59" s="45"/>
      <c r="X59" s="45"/>
      <c r="Y59" s="45"/>
      <c r="Z59" s="45"/>
    </row>
    <row r="60" spans="2:26" x14ac:dyDescent="0.25">
      <c r="B60" s="56" t="s">
        <v>131</v>
      </c>
      <c r="C60" s="57"/>
      <c r="D60" s="58" t="s">
        <v>162</v>
      </c>
      <c r="E60" s="72"/>
      <c r="F60" s="72"/>
      <c r="G60" s="72"/>
      <c r="H60" s="72"/>
      <c r="I60" s="72"/>
      <c r="J60" s="72"/>
      <c r="K60" s="72"/>
      <c r="L60" s="72"/>
      <c r="M60" s="72"/>
      <c r="N60" s="72"/>
      <c r="O60" s="72"/>
      <c r="P60" s="50"/>
      <c r="Q60" s="55">
        <f t="shared" si="1"/>
        <v>0</v>
      </c>
      <c r="R60" s="45"/>
      <c r="S60" s="45"/>
      <c r="T60" s="45"/>
      <c r="U60" s="45"/>
      <c r="V60" s="45"/>
      <c r="W60" s="45"/>
      <c r="X60" s="45"/>
      <c r="Y60" s="45"/>
      <c r="Z60" s="45"/>
    </row>
    <row r="61" spans="2:26" x14ac:dyDescent="0.25">
      <c r="B61" s="40"/>
      <c r="C61" s="45"/>
      <c r="D61" s="45"/>
      <c r="E61" s="50"/>
      <c r="F61" s="50"/>
      <c r="G61" s="50"/>
      <c r="H61" s="50"/>
      <c r="I61" s="50"/>
      <c r="J61" s="50"/>
      <c r="K61" s="50"/>
      <c r="L61" s="50"/>
      <c r="M61" s="50"/>
      <c r="N61" s="50"/>
      <c r="O61" s="50"/>
      <c r="P61" s="50"/>
      <c r="Q61" s="50"/>
      <c r="R61" s="45"/>
      <c r="S61" s="45"/>
      <c r="T61" s="45"/>
      <c r="U61" s="45"/>
      <c r="V61" s="45"/>
      <c r="W61" s="45"/>
      <c r="X61" s="45"/>
      <c r="Y61" s="45"/>
      <c r="Z61" s="45"/>
    </row>
    <row r="62" spans="2:26" x14ac:dyDescent="0.25">
      <c r="B62" s="99" t="s">
        <v>167</v>
      </c>
      <c r="C62" s="45"/>
      <c r="D62" s="45"/>
      <c r="E62" s="82">
        <f t="shared" ref="E62:O62" si="13">IFERROR(E57*E43,"-")</f>
        <v>0</v>
      </c>
      <c r="F62" s="82">
        <f t="shared" si="13"/>
        <v>0</v>
      </c>
      <c r="G62" s="82">
        <f t="shared" si="13"/>
        <v>0</v>
      </c>
      <c r="H62" s="82">
        <f t="shared" si="13"/>
        <v>0</v>
      </c>
      <c r="I62" s="82">
        <f t="shared" si="13"/>
        <v>0</v>
      </c>
      <c r="J62" s="82">
        <f t="shared" si="13"/>
        <v>0</v>
      </c>
      <c r="K62" s="82">
        <f t="shared" si="13"/>
        <v>0</v>
      </c>
      <c r="L62" s="82">
        <f t="shared" si="13"/>
        <v>0</v>
      </c>
      <c r="M62" s="82">
        <f t="shared" si="13"/>
        <v>0</v>
      </c>
      <c r="N62" s="82">
        <f t="shared" si="13"/>
        <v>0</v>
      </c>
      <c r="O62" s="82" t="str">
        <f t="shared" si="13"/>
        <v>-</v>
      </c>
      <c r="P62" s="50"/>
      <c r="Q62" s="55">
        <f t="shared" si="1"/>
        <v>0</v>
      </c>
      <c r="R62" s="45"/>
      <c r="S62" s="45"/>
      <c r="T62" s="45"/>
      <c r="U62" s="45"/>
      <c r="V62" s="45"/>
      <c r="W62" s="45"/>
      <c r="X62" s="45"/>
      <c r="Y62" s="45"/>
      <c r="Z62" s="45"/>
    </row>
    <row r="63" spans="2:26" x14ac:dyDescent="0.25">
      <c r="B63" s="40"/>
      <c r="C63" s="45"/>
      <c r="D63" s="45"/>
      <c r="E63" s="50"/>
      <c r="F63" s="50"/>
      <c r="G63" s="50"/>
      <c r="H63" s="50"/>
      <c r="I63" s="50"/>
      <c r="J63" s="50"/>
      <c r="K63" s="50"/>
      <c r="L63" s="50"/>
      <c r="M63" s="50"/>
      <c r="N63" s="50"/>
      <c r="O63" s="50"/>
      <c r="P63" s="50"/>
      <c r="Q63" s="50"/>
      <c r="R63" s="45"/>
      <c r="S63" s="45"/>
      <c r="T63" s="45"/>
      <c r="U63" s="45"/>
      <c r="V63" s="45"/>
      <c r="W63" s="45"/>
      <c r="X63" s="45"/>
      <c r="Y63" s="45"/>
      <c r="Z63" s="45"/>
    </row>
    <row r="64" spans="2:26" x14ac:dyDescent="0.25">
      <c r="B64" s="52" t="s">
        <v>168</v>
      </c>
      <c r="C64" s="45"/>
      <c r="D64" s="45"/>
      <c r="E64" s="60">
        <f>SUM(E62:O62)</f>
        <v>0</v>
      </c>
      <c r="F64" s="170" t="s">
        <v>217</v>
      </c>
      <c r="G64" s="50"/>
      <c r="H64" s="50"/>
      <c r="I64" s="50"/>
      <c r="J64" s="50"/>
      <c r="K64" s="50"/>
      <c r="L64" s="50"/>
      <c r="M64" s="50"/>
      <c r="N64" s="50"/>
      <c r="O64" s="50"/>
      <c r="P64" s="50"/>
      <c r="Q64" s="50"/>
      <c r="R64" s="45"/>
      <c r="S64" s="45"/>
      <c r="T64" s="45"/>
      <c r="U64" s="45"/>
      <c r="V64" s="45"/>
      <c r="W64" s="45"/>
      <c r="X64" s="45"/>
      <c r="Y64" s="45"/>
      <c r="Z64" s="45"/>
    </row>
    <row r="65" spans="2:26" x14ac:dyDescent="0.25">
      <c r="B65" s="40"/>
      <c r="C65" s="45"/>
      <c r="D65" s="45"/>
      <c r="E65" s="50"/>
      <c r="F65" s="50"/>
      <c r="G65" s="50"/>
      <c r="H65" s="50"/>
      <c r="I65" s="50"/>
      <c r="J65" s="50"/>
      <c r="K65" s="50"/>
      <c r="L65" s="50"/>
      <c r="M65" s="50"/>
      <c r="N65" s="50"/>
      <c r="O65" s="50"/>
      <c r="P65" s="50"/>
      <c r="Q65" s="50"/>
      <c r="R65" s="45"/>
      <c r="S65" s="45"/>
      <c r="T65" s="45"/>
      <c r="U65" s="45"/>
      <c r="V65" s="45"/>
      <c r="W65" s="45"/>
      <c r="X65" s="45"/>
      <c r="Y65" s="45"/>
      <c r="Z65" s="45"/>
    </row>
    <row r="66" spans="2:26" x14ac:dyDescent="0.25">
      <c r="B66" s="62" t="s">
        <v>165</v>
      </c>
      <c r="C66" s="45"/>
      <c r="D66" s="45"/>
      <c r="E66" s="55">
        <f>E51+E57</f>
        <v>0</v>
      </c>
      <c r="F66" s="55">
        <f t="shared" ref="F66:O66" si="14">F51+F57</f>
        <v>0</v>
      </c>
      <c r="G66" s="55">
        <f t="shared" si="14"/>
        <v>0</v>
      </c>
      <c r="H66" s="55">
        <f t="shared" si="14"/>
        <v>0</v>
      </c>
      <c r="I66" s="55">
        <f t="shared" si="14"/>
        <v>0</v>
      </c>
      <c r="J66" s="55">
        <f t="shared" si="14"/>
        <v>0</v>
      </c>
      <c r="K66" s="55">
        <f t="shared" si="14"/>
        <v>0</v>
      </c>
      <c r="L66" s="55">
        <f t="shared" si="14"/>
        <v>0</v>
      </c>
      <c r="M66" s="55">
        <f t="shared" si="14"/>
        <v>0</v>
      </c>
      <c r="N66" s="55">
        <f t="shared" si="14"/>
        <v>0</v>
      </c>
      <c r="O66" s="55">
        <f t="shared" si="14"/>
        <v>0</v>
      </c>
      <c r="P66" s="50"/>
      <c r="Q66" s="55">
        <f t="shared" si="1"/>
        <v>0</v>
      </c>
      <c r="R66" s="45"/>
      <c r="S66" s="45"/>
      <c r="T66" s="45"/>
      <c r="U66" s="45"/>
      <c r="V66" s="45"/>
      <c r="W66" s="45"/>
      <c r="X66" s="45"/>
      <c r="Y66" s="45"/>
      <c r="Z66" s="45"/>
    </row>
    <row r="67" spans="2:26" x14ac:dyDescent="0.25">
      <c r="B67" s="56" t="s">
        <v>172</v>
      </c>
      <c r="C67" s="45"/>
      <c r="D67" s="45"/>
      <c r="E67" s="82">
        <f t="shared" ref="E67:O67" si="15">IFERROR(E66*E43,"-")</f>
        <v>0</v>
      </c>
      <c r="F67" s="82">
        <f t="shared" si="15"/>
        <v>0</v>
      </c>
      <c r="G67" s="82">
        <f t="shared" si="15"/>
        <v>0</v>
      </c>
      <c r="H67" s="82">
        <f t="shared" si="15"/>
        <v>0</v>
      </c>
      <c r="I67" s="82">
        <f t="shared" si="15"/>
        <v>0</v>
      </c>
      <c r="J67" s="82">
        <f t="shared" si="15"/>
        <v>0</v>
      </c>
      <c r="K67" s="82">
        <f t="shared" si="15"/>
        <v>0</v>
      </c>
      <c r="L67" s="82">
        <f t="shared" si="15"/>
        <v>0</v>
      </c>
      <c r="M67" s="82">
        <f t="shared" si="15"/>
        <v>0</v>
      </c>
      <c r="N67" s="82">
        <f t="shared" si="15"/>
        <v>0</v>
      </c>
      <c r="O67" s="82" t="str">
        <f t="shared" si="15"/>
        <v>-</v>
      </c>
      <c r="P67" s="50"/>
      <c r="Q67" s="55">
        <f t="shared" si="1"/>
        <v>0</v>
      </c>
      <c r="R67" s="45"/>
      <c r="S67" s="45"/>
      <c r="T67" s="45"/>
      <c r="U67" s="45"/>
      <c r="V67" s="45"/>
      <c r="W67" s="45"/>
      <c r="X67" s="45"/>
      <c r="Y67" s="45"/>
      <c r="Z67" s="45"/>
    </row>
    <row r="68" spans="2:26" x14ac:dyDescent="0.25">
      <c r="C68" s="45"/>
      <c r="D68" s="45"/>
      <c r="E68" s="50"/>
      <c r="F68" s="50"/>
      <c r="G68" s="50"/>
      <c r="H68" s="50"/>
      <c r="I68" s="50"/>
      <c r="J68" s="50"/>
      <c r="K68" s="50"/>
      <c r="L68" s="50"/>
      <c r="M68" s="50"/>
      <c r="N68" s="50"/>
      <c r="O68" s="50"/>
      <c r="P68" s="50"/>
      <c r="Q68" s="50"/>
      <c r="R68" s="45"/>
      <c r="S68" s="45"/>
      <c r="T68" s="45"/>
      <c r="U68" s="45"/>
      <c r="V68" s="45"/>
      <c r="W68" s="45"/>
      <c r="X68" s="45"/>
      <c r="Y68" s="45"/>
      <c r="Z68" s="45"/>
    </row>
    <row r="69" spans="2:26" x14ac:dyDescent="0.25">
      <c r="B69" s="59" t="s">
        <v>140</v>
      </c>
      <c r="C69" s="45"/>
      <c r="D69" s="45"/>
      <c r="E69" s="60">
        <f>SUM(E67:O67)</f>
        <v>0</v>
      </c>
      <c r="F69" s="170" t="s">
        <v>217</v>
      </c>
      <c r="G69" s="50"/>
      <c r="H69" s="50"/>
      <c r="I69" s="50"/>
      <c r="J69" s="50"/>
      <c r="K69" s="50"/>
      <c r="L69" s="50"/>
      <c r="M69" s="50"/>
      <c r="N69" s="50"/>
      <c r="O69" s="50"/>
      <c r="P69" s="50"/>
      <c r="Q69" s="50"/>
      <c r="R69" s="45"/>
      <c r="S69" s="45"/>
      <c r="T69" s="45"/>
      <c r="U69" s="45"/>
      <c r="V69" s="45"/>
      <c r="W69" s="45"/>
      <c r="X69" s="45"/>
      <c r="Y69" s="45"/>
      <c r="Z69" s="45"/>
    </row>
    <row r="70" spans="2:26" x14ac:dyDescent="0.25">
      <c r="C70" s="45"/>
      <c r="D70" s="45"/>
      <c r="E70" s="50"/>
      <c r="F70" s="50"/>
      <c r="G70" s="50"/>
      <c r="H70" s="50"/>
      <c r="I70" s="50"/>
      <c r="J70" s="50"/>
      <c r="K70" s="50"/>
      <c r="L70" s="50"/>
      <c r="M70" s="50"/>
      <c r="N70" s="50"/>
      <c r="O70" s="50"/>
      <c r="P70" s="50"/>
      <c r="Q70" s="50"/>
      <c r="R70" s="45"/>
      <c r="S70" s="45"/>
      <c r="T70" s="45"/>
      <c r="U70" s="45"/>
      <c r="V70" s="45"/>
      <c r="W70" s="45"/>
      <c r="X70" s="45"/>
      <c r="Y70" s="45"/>
      <c r="Z70" s="45"/>
    </row>
    <row r="71" spans="2:26" x14ac:dyDescent="0.25">
      <c r="B71" s="121" t="s">
        <v>146</v>
      </c>
      <c r="C71" s="45"/>
      <c r="D71" s="45"/>
      <c r="E71" s="89"/>
      <c r="F71" s="89"/>
      <c r="G71" s="89"/>
      <c r="H71" s="89"/>
      <c r="I71" s="89"/>
      <c r="J71" s="89"/>
      <c r="K71" s="89"/>
      <c r="L71" s="89"/>
      <c r="M71" s="89"/>
      <c r="N71" s="89"/>
      <c r="O71" s="89"/>
      <c r="P71" s="50"/>
      <c r="Q71" s="55">
        <f t="shared" ref="Q71" si="16">SUM(E71:O71)</f>
        <v>0</v>
      </c>
      <c r="R71" s="45"/>
      <c r="S71" s="45"/>
      <c r="T71" s="45"/>
      <c r="U71" s="45"/>
      <c r="V71" s="45"/>
      <c r="W71" s="45"/>
      <c r="X71" s="45"/>
      <c r="Y71" s="45"/>
      <c r="Z71" s="45"/>
    </row>
    <row r="72" spans="2:26" x14ac:dyDescent="0.25">
      <c r="C72" s="45"/>
      <c r="D72" s="45"/>
      <c r="E72" s="45"/>
      <c r="F72" s="45"/>
      <c r="G72" s="45"/>
      <c r="H72" s="45"/>
      <c r="I72" s="45"/>
      <c r="J72" s="45"/>
      <c r="K72" s="45"/>
      <c r="L72" s="45"/>
      <c r="M72" s="45"/>
      <c r="N72" s="45"/>
      <c r="O72" s="45"/>
      <c r="P72" s="45"/>
      <c r="Q72" s="45"/>
      <c r="R72" s="45"/>
      <c r="S72" s="45"/>
      <c r="T72" s="45"/>
      <c r="U72" s="45"/>
      <c r="V72" s="45"/>
      <c r="W72" s="45"/>
      <c r="X72" s="45"/>
      <c r="Y72" s="45"/>
      <c r="Z72" s="45"/>
    </row>
    <row r="73" spans="2:26" x14ac:dyDescent="0.25"/>
  </sheetData>
  <mergeCells count="1">
    <mergeCell ref="E2:G2"/>
  </mergeCells>
  <conditionalFormatting sqref="E2:G2">
    <cfRule type="cellIs" dxfId="9" priority="3" operator="equal">
      <formula>"NEAIZPILDĪT"</formula>
    </cfRule>
  </conditionalFormatting>
  <conditionalFormatting sqref="B5:Q7 B11:Q71 B8:D10 O8:Q10">
    <cfRule type="expression" dxfId="8" priority="2">
      <formula>$E$2="NEAIZPILDĪT"</formula>
    </cfRule>
  </conditionalFormatting>
  <conditionalFormatting sqref="E8:N10">
    <cfRule type="expression" dxfId="7" priority="1">
      <formula>$E$2="NEAIZPILDĪT"</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sheetPr>
  <dimension ref="A1:Z121"/>
  <sheetViews>
    <sheetView zoomScale="80" zoomScaleNormal="80" workbookViewId="0">
      <pane xSplit="4" ySplit="9" topLeftCell="E76" activePane="bottomRight" state="frozen"/>
      <selection pane="topRight" activeCell="E1" sqref="E1"/>
      <selection pane="bottomLeft" activeCell="A10" sqref="A10"/>
      <selection pane="bottomRight" activeCell="E106" sqref="E106"/>
    </sheetView>
  </sheetViews>
  <sheetFormatPr defaultColWidth="0" defaultRowHeight="12" zeroHeight="1" outlineLevelCol="1" x14ac:dyDescent="0.25"/>
  <cols>
    <col min="1" max="1" width="8.88671875" style="1" customWidth="1"/>
    <col min="2" max="2" width="43.21875" style="1" bestFit="1" customWidth="1"/>
    <col min="3" max="3" width="3.33203125" style="1" customWidth="1"/>
    <col min="4" max="4" width="12.6640625" style="49" hidden="1" customWidth="1" outlineLevel="1"/>
    <col min="5" max="5" width="10.33203125" style="1" bestFit="1" customWidth="1" collapsed="1"/>
    <col min="6" max="15" width="8.88671875" style="1" customWidth="1"/>
    <col min="16" max="16" width="3.88671875" style="1" customWidth="1"/>
    <col min="17" max="18" width="8.88671875" style="1" customWidth="1"/>
    <col min="19" max="16384" width="8.88671875" style="1" hidden="1"/>
  </cols>
  <sheetData>
    <row r="1" spans="2:26" x14ac:dyDescent="0.25"/>
    <row r="2" spans="2:26" ht="14.4" x14ac:dyDescent="0.3">
      <c r="B2" s="51" t="s">
        <v>219</v>
      </c>
      <c r="C2" s="51"/>
      <c r="D2" s="104"/>
      <c r="E2" s="263" t="str">
        <f>IF(Titullapa!$D$23="Jā","AIZPILDĪT","NEAIZPILDĪT")</f>
        <v>NEAIZPILDĪT</v>
      </c>
      <c r="F2" s="263"/>
      <c r="G2" s="263"/>
      <c r="H2" s="51"/>
      <c r="I2" s="51"/>
      <c r="J2" s="51"/>
      <c r="K2" s="51"/>
      <c r="L2" s="51"/>
      <c r="M2" s="51"/>
      <c r="N2" s="51"/>
      <c r="O2" s="51"/>
    </row>
    <row r="3" spans="2:26" x14ac:dyDescent="0.25"/>
    <row r="4" spans="2:26" x14ac:dyDescent="0.25"/>
    <row r="5" spans="2:26" x14ac:dyDescent="0.25">
      <c r="B5" s="54" t="s">
        <v>147</v>
      </c>
      <c r="E5" s="63" t="s">
        <v>137</v>
      </c>
    </row>
    <row r="6" spans="2:26" x14ac:dyDescent="0.25">
      <c r="B6" s="54" t="s">
        <v>194</v>
      </c>
      <c r="C6" s="45"/>
      <c r="E6" s="69">
        <f>NPV_Bāze_I!E6</f>
        <v>0.04</v>
      </c>
      <c r="F6" s="45"/>
      <c r="G6" s="45"/>
      <c r="H6" s="45"/>
      <c r="I6" s="45"/>
      <c r="J6" s="45"/>
      <c r="K6" s="45"/>
      <c r="L6" s="45"/>
      <c r="M6" s="45"/>
      <c r="N6" s="45"/>
      <c r="O6" s="45"/>
      <c r="P6" s="45"/>
      <c r="Q6" s="45"/>
      <c r="R6" s="45"/>
      <c r="S6" s="45"/>
      <c r="T6" s="45"/>
      <c r="U6" s="45"/>
      <c r="V6" s="45"/>
      <c r="W6" s="45"/>
      <c r="X6" s="45"/>
      <c r="Y6" s="45"/>
      <c r="Z6" s="45"/>
    </row>
    <row r="7" spans="2:26" x14ac:dyDescent="0.25">
      <c r="B7" s="46"/>
      <c r="C7" s="45"/>
      <c r="E7" s="45"/>
      <c r="F7" s="45"/>
      <c r="G7" s="45"/>
      <c r="H7" s="45"/>
      <c r="I7" s="45"/>
      <c r="J7" s="45"/>
      <c r="K7" s="45"/>
      <c r="L7" s="45"/>
      <c r="M7" s="45"/>
      <c r="N7" s="45"/>
      <c r="O7" s="45"/>
      <c r="P7" s="45"/>
      <c r="Q7" s="45"/>
      <c r="R7" s="45"/>
      <c r="S7" s="45"/>
      <c r="T7" s="45"/>
      <c r="U7" s="45"/>
      <c r="V7" s="45"/>
      <c r="W7" s="45"/>
      <c r="X7" s="45"/>
      <c r="Y7" s="45"/>
      <c r="Z7" s="45"/>
    </row>
    <row r="8" spans="2:26" x14ac:dyDescent="0.25">
      <c r="B8" s="54" t="s">
        <v>170</v>
      </c>
      <c r="C8" s="45"/>
      <c r="E8" s="174">
        <f>Projekts!D4</f>
        <v>2022</v>
      </c>
      <c r="F8" s="174">
        <f>Projekts!E4</f>
        <v>2023</v>
      </c>
      <c r="G8" s="174">
        <f>Projekts!F4</f>
        <v>2024</v>
      </c>
      <c r="H8" s="174">
        <f>Projekts!G4</f>
        <v>2025</v>
      </c>
      <c r="I8" s="174">
        <f>Projekts!H4</f>
        <v>2026</v>
      </c>
      <c r="J8" s="174">
        <f>Projekts!I4</f>
        <v>2027</v>
      </c>
      <c r="K8" s="174">
        <f>Projekts!J4</f>
        <v>2028</v>
      </c>
      <c r="L8" s="174">
        <f>Projekts!K4</f>
        <v>2029</v>
      </c>
      <c r="M8" s="174">
        <f>Projekts!L4</f>
        <v>2030</v>
      </c>
      <c r="N8" s="174">
        <f>Projekts!M4</f>
        <v>2031</v>
      </c>
      <c r="O8" s="67"/>
      <c r="P8" s="45"/>
      <c r="Q8" s="45" t="s">
        <v>192</v>
      </c>
      <c r="R8" s="45"/>
      <c r="S8" s="45"/>
      <c r="T8" s="45"/>
      <c r="U8" s="45"/>
      <c r="V8" s="45"/>
      <c r="W8" s="45"/>
      <c r="X8" s="45"/>
      <c r="Y8" s="45"/>
      <c r="Z8" s="45"/>
    </row>
    <row r="9" spans="2:26" x14ac:dyDescent="0.25">
      <c r="B9" s="54" t="s">
        <v>169</v>
      </c>
      <c r="C9" s="45"/>
      <c r="E9" s="175">
        <f>Projekts!D5</f>
        <v>1</v>
      </c>
      <c r="F9" s="175">
        <f>Projekts!E5</f>
        <v>2</v>
      </c>
      <c r="G9" s="175">
        <f>Projekts!F5</f>
        <v>3</v>
      </c>
      <c r="H9" s="175">
        <f>Projekts!G5</f>
        <v>4</v>
      </c>
      <c r="I9" s="175">
        <f>Projekts!H5</f>
        <v>5</v>
      </c>
      <c r="J9" s="175">
        <f>Projekts!I5</f>
        <v>6</v>
      </c>
      <c r="K9" s="175">
        <f>Projekts!J5</f>
        <v>7</v>
      </c>
      <c r="L9" s="175">
        <f>Projekts!K5</f>
        <v>8</v>
      </c>
      <c r="M9" s="175">
        <f>Projekts!L5</f>
        <v>9</v>
      </c>
      <c r="N9" s="175">
        <f>Projekts!M5</f>
        <v>10</v>
      </c>
      <c r="O9" s="61" t="s">
        <v>111</v>
      </c>
      <c r="P9" s="45"/>
      <c r="Q9" s="45">
        <f>COUNTA(E9:O9)</f>
        <v>11</v>
      </c>
      <c r="R9" s="45"/>
      <c r="S9" s="45"/>
      <c r="T9" s="45"/>
      <c r="U9" s="45"/>
      <c r="V9" s="45"/>
      <c r="W9" s="45"/>
      <c r="X9" s="45"/>
      <c r="Y9" s="45"/>
      <c r="Z9" s="45"/>
    </row>
    <row r="10" spans="2:26" x14ac:dyDescent="0.25">
      <c r="B10" s="54" t="s">
        <v>148</v>
      </c>
      <c r="C10" s="45"/>
      <c r="E10" s="176">
        <f>Projekts!D9</f>
        <v>0.02</v>
      </c>
      <c r="F10" s="176">
        <f>Projekts!E9</f>
        <v>0.02</v>
      </c>
      <c r="G10" s="176">
        <f>Projekts!F9</f>
        <v>0.02</v>
      </c>
      <c r="H10" s="176">
        <f>Projekts!G9</f>
        <v>0.02</v>
      </c>
      <c r="I10" s="176">
        <f>Projekts!H9</f>
        <v>0.02</v>
      </c>
      <c r="J10" s="176">
        <f>Projekts!I9</f>
        <v>0.02</v>
      </c>
      <c r="K10" s="176">
        <f>Projekts!J9</f>
        <v>0.02</v>
      </c>
      <c r="L10" s="176">
        <f>Projekts!K9</f>
        <v>0.02</v>
      </c>
      <c r="M10" s="176">
        <f>Projekts!L9</f>
        <v>0.02</v>
      </c>
      <c r="N10" s="176">
        <f>Projekts!M9</f>
        <v>0.02</v>
      </c>
      <c r="O10" s="68"/>
      <c r="P10" s="45"/>
      <c r="Q10" s="45"/>
      <c r="R10" s="45"/>
      <c r="S10" s="45"/>
      <c r="T10" s="45"/>
      <c r="U10" s="45"/>
      <c r="V10" s="45"/>
      <c r="W10" s="45"/>
      <c r="X10" s="45"/>
      <c r="Y10" s="45"/>
      <c r="Z10" s="45"/>
    </row>
    <row r="11" spans="2:26" x14ac:dyDescent="0.25">
      <c r="B11" s="40"/>
      <c r="C11" s="45"/>
      <c r="E11" s="45"/>
      <c r="F11" s="45"/>
      <c r="G11" s="45"/>
      <c r="H11" s="45"/>
      <c r="I11" s="45"/>
      <c r="J11" s="45"/>
      <c r="K11" s="45"/>
      <c r="L11" s="45"/>
      <c r="M11" s="45"/>
      <c r="N11" s="45"/>
      <c r="O11" s="45"/>
      <c r="P11" s="45"/>
      <c r="Q11" s="45"/>
      <c r="R11" s="45"/>
      <c r="S11" s="45"/>
      <c r="T11" s="45"/>
      <c r="U11" s="45"/>
      <c r="V11" s="45"/>
      <c r="W11" s="45"/>
      <c r="X11" s="45"/>
      <c r="Y11" s="45"/>
      <c r="Z11" s="45"/>
    </row>
    <row r="12" spans="2:26" x14ac:dyDescent="0.25">
      <c r="B12" s="47" t="s">
        <v>196</v>
      </c>
      <c r="C12" s="45"/>
      <c r="D12" s="49" t="s">
        <v>161</v>
      </c>
      <c r="E12" s="45"/>
      <c r="F12" s="45"/>
      <c r="G12" s="45"/>
      <c r="H12" s="45"/>
      <c r="I12" s="45"/>
      <c r="J12" s="45"/>
      <c r="K12" s="45"/>
      <c r="L12" s="45"/>
      <c r="M12" s="45"/>
      <c r="N12" s="45"/>
      <c r="O12" s="45"/>
      <c r="P12" s="45"/>
      <c r="Q12" s="45"/>
      <c r="R12" s="45"/>
      <c r="S12" s="45"/>
      <c r="T12" s="45"/>
      <c r="U12" s="45"/>
      <c r="V12" s="45"/>
      <c r="W12" s="45"/>
      <c r="X12" s="45"/>
      <c r="Y12" s="45"/>
      <c r="Z12" s="45"/>
    </row>
    <row r="13" spans="2:26" x14ac:dyDescent="0.25">
      <c r="B13" s="62" t="s">
        <v>154</v>
      </c>
      <c r="C13" s="45"/>
      <c r="D13" s="49" t="s">
        <v>163</v>
      </c>
      <c r="E13" s="55">
        <f>SUM(E14:E17)</f>
        <v>0</v>
      </c>
      <c r="F13" s="55">
        <f t="shared" ref="F13" si="0">SUM(F14:F17)</f>
        <v>0</v>
      </c>
      <c r="G13" s="55">
        <f t="shared" ref="G13" si="1">SUM(G14:G17)</f>
        <v>0</v>
      </c>
      <c r="H13" s="55">
        <f t="shared" ref="H13" si="2">SUM(H14:H17)</f>
        <v>0</v>
      </c>
      <c r="I13" s="55">
        <f t="shared" ref="I13" si="3">SUM(I14:I17)</f>
        <v>0</v>
      </c>
      <c r="J13" s="55">
        <f t="shared" ref="J13" si="4">SUM(J14:J17)</f>
        <v>0</v>
      </c>
      <c r="K13" s="55">
        <f t="shared" ref="K13" si="5">SUM(K14:K17)</f>
        <v>0</v>
      </c>
      <c r="L13" s="55">
        <f t="shared" ref="L13" si="6">SUM(L14:L17)</f>
        <v>0</v>
      </c>
      <c r="M13" s="55">
        <f t="shared" ref="M13" si="7">SUM(M14:M17)</f>
        <v>0</v>
      </c>
      <c r="N13" s="55">
        <f t="shared" ref="N13" si="8">SUM(N14:N17)</f>
        <v>0</v>
      </c>
      <c r="O13" s="55">
        <f t="shared" ref="O13" si="9">SUM(O14:O17)</f>
        <v>0</v>
      </c>
      <c r="P13" s="50"/>
      <c r="Q13" s="55">
        <f>SUM(E13:O13)</f>
        <v>0</v>
      </c>
      <c r="R13" s="45"/>
      <c r="S13" s="45"/>
      <c r="T13" s="45"/>
      <c r="U13" s="45"/>
      <c r="V13" s="45"/>
      <c r="W13" s="45"/>
      <c r="X13" s="45"/>
      <c r="Y13" s="45"/>
      <c r="Z13" s="45"/>
    </row>
    <row r="14" spans="2:26" x14ac:dyDescent="0.25">
      <c r="B14" s="131" t="s">
        <v>155</v>
      </c>
      <c r="C14" s="45"/>
      <c r="D14" s="49" t="s">
        <v>163</v>
      </c>
      <c r="E14" s="72"/>
      <c r="F14" s="72"/>
      <c r="G14" s="72"/>
      <c r="H14" s="72"/>
      <c r="I14" s="72"/>
      <c r="J14" s="72"/>
      <c r="K14" s="72"/>
      <c r="L14" s="72"/>
      <c r="M14" s="72"/>
      <c r="N14" s="72"/>
      <c r="O14" s="72"/>
      <c r="P14" s="50"/>
      <c r="Q14" s="55">
        <f t="shared" ref="Q14:Q27" si="10">SUM(E14:O14)</f>
        <v>0</v>
      </c>
      <c r="R14" s="45"/>
      <c r="S14" s="45"/>
      <c r="T14" s="45"/>
      <c r="U14" s="45"/>
      <c r="V14" s="45"/>
      <c r="W14" s="45"/>
      <c r="X14" s="45"/>
      <c r="Y14" s="45"/>
      <c r="Z14" s="45"/>
    </row>
    <row r="15" spans="2:26" x14ac:dyDescent="0.25">
      <c r="B15" s="131" t="s">
        <v>156</v>
      </c>
      <c r="C15" s="45"/>
      <c r="D15" s="49" t="s">
        <v>163</v>
      </c>
      <c r="E15" s="72"/>
      <c r="F15" s="72"/>
      <c r="G15" s="72"/>
      <c r="H15" s="72"/>
      <c r="I15" s="72"/>
      <c r="J15" s="72"/>
      <c r="K15" s="72"/>
      <c r="L15" s="72"/>
      <c r="M15" s="72"/>
      <c r="N15" s="72"/>
      <c r="O15" s="72"/>
      <c r="P15" s="50"/>
      <c r="Q15" s="55">
        <f t="shared" si="10"/>
        <v>0</v>
      </c>
      <c r="R15" s="45"/>
      <c r="S15" s="45"/>
      <c r="T15" s="45"/>
      <c r="U15" s="45"/>
      <c r="V15" s="45"/>
      <c r="W15" s="45"/>
      <c r="X15" s="45"/>
      <c r="Y15" s="45"/>
      <c r="Z15" s="45"/>
    </row>
    <row r="16" spans="2:26" x14ac:dyDescent="0.25">
      <c r="B16" s="131" t="s">
        <v>157</v>
      </c>
      <c r="C16" s="45"/>
      <c r="D16" s="49" t="s">
        <v>163</v>
      </c>
      <c r="E16" s="72"/>
      <c r="F16" s="72"/>
      <c r="G16" s="72"/>
      <c r="H16" s="72"/>
      <c r="I16" s="72"/>
      <c r="J16" s="72"/>
      <c r="K16" s="72"/>
      <c r="L16" s="72"/>
      <c r="M16" s="72"/>
      <c r="N16" s="72"/>
      <c r="O16" s="72"/>
      <c r="P16" s="50"/>
      <c r="Q16" s="55">
        <f t="shared" si="10"/>
        <v>0</v>
      </c>
      <c r="R16" s="45"/>
      <c r="S16" s="45"/>
      <c r="T16" s="45"/>
      <c r="U16" s="45"/>
      <c r="V16" s="45"/>
      <c r="W16" s="45"/>
      <c r="X16" s="45"/>
      <c r="Y16" s="45"/>
      <c r="Z16" s="45"/>
    </row>
    <row r="17" spans="2:26" x14ac:dyDescent="0.25">
      <c r="B17" s="56" t="s">
        <v>111</v>
      </c>
      <c r="C17" s="45"/>
      <c r="D17" s="49" t="s">
        <v>163</v>
      </c>
      <c r="E17" s="72"/>
      <c r="F17" s="72"/>
      <c r="G17" s="72"/>
      <c r="H17" s="72"/>
      <c r="I17" s="72"/>
      <c r="J17" s="72"/>
      <c r="K17" s="72"/>
      <c r="L17" s="72"/>
      <c r="M17" s="72"/>
      <c r="N17" s="72"/>
      <c r="O17" s="72"/>
      <c r="P17" s="50"/>
      <c r="Q17" s="55">
        <f t="shared" si="10"/>
        <v>0</v>
      </c>
      <c r="R17" s="45"/>
      <c r="S17" s="45"/>
      <c r="T17" s="45"/>
      <c r="U17" s="45"/>
      <c r="V17" s="45"/>
      <c r="W17" s="45"/>
      <c r="X17" s="45"/>
      <c r="Y17" s="45"/>
      <c r="Z17" s="45"/>
    </row>
    <row r="18" spans="2:26" x14ac:dyDescent="0.25">
      <c r="B18" s="62" t="s">
        <v>200</v>
      </c>
      <c r="C18" s="45"/>
      <c r="E18" s="55">
        <f>SUM(E19:E22)</f>
        <v>0</v>
      </c>
      <c r="F18" s="55">
        <f t="shared" ref="F18:O18" si="11">SUM(F19:F22)</f>
        <v>0</v>
      </c>
      <c r="G18" s="55">
        <f t="shared" si="11"/>
        <v>0</v>
      </c>
      <c r="H18" s="55">
        <f t="shared" si="11"/>
        <v>0</v>
      </c>
      <c r="I18" s="55">
        <f t="shared" si="11"/>
        <v>0</v>
      </c>
      <c r="J18" s="55">
        <f t="shared" si="11"/>
        <v>0</v>
      </c>
      <c r="K18" s="55">
        <f t="shared" si="11"/>
        <v>0</v>
      </c>
      <c r="L18" s="55">
        <f t="shared" si="11"/>
        <v>0</v>
      </c>
      <c r="M18" s="55">
        <f t="shared" si="11"/>
        <v>0</v>
      </c>
      <c r="N18" s="55">
        <f t="shared" si="11"/>
        <v>0</v>
      </c>
      <c r="O18" s="55">
        <f t="shared" si="11"/>
        <v>0</v>
      </c>
      <c r="P18" s="50"/>
      <c r="Q18" s="55">
        <f t="shared" si="10"/>
        <v>0</v>
      </c>
      <c r="R18" s="45"/>
      <c r="S18" s="45"/>
      <c r="T18" s="45"/>
      <c r="U18" s="45"/>
      <c r="V18" s="45"/>
      <c r="W18" s="45"/>
      <c r="X18" s="45"/>
      <c r="Y18" s="45"/>
      <c r="Z18" s="45"/>
    </row>
    <row r="19" spans="2:26" x14ac:dyDescent="0.25">
      <c r="B19" s="131" t="s">
        <v>201</v>
      </c>
      <c r="C19" s="45"/>
      <c r="D19" s="49" t="s">
        <v>162</v>
      </c>
      <c r="E19" s="72"/>
      <c r="F19" s="72"/>
      <c r="G19" s="72"/>
      <c r="H19" s="72"/>
      <c r="I19" s="72"/>
      <c r="J19" s="72"/>
      <c r="K19" s="72"/>
      <c r="L19" s="72"/>
      <c r="M19" s="72"/>
      <c r="N19" s="72"/>
      <c r="O19" s="72"/>
      <c r="P19" s="50"/>
      <c r="Q19" s="55">
        <f t="shared" si="10"/>
        <v>0</v>
      </c>
      <c r="R19" s="45"/>
      <c r="S19" s="45"/>
      <c r="T19" s="45"/>
      <c r="U19" s="45"/>
      <c r="V19" s="45"/>
      <c r="W19" s="45"/>
      <c r="X19" s="45"/>
      <c r="Y19" s="45"/>
      <c r="Z19" s="45"/>
    </row>
    <row r="20" spans="2:26" x14ac:dyDescent="0.25">
      <c r="B20" s="131" t="s">
        <v>202</v>
      </c>
      <c r="C20" s="45"/>
      <c r="D20" s="49" t="s">
        <v>162</v>
      </c>
      <c r="E20" s="72"/>
      <c r="F20" s="72"/>
      <c r="G20" s="72"/>
      <c r="H20" s="72"/>
      <c r="I20" s="72"/>
      <c r="J20" s="72"/>
      <c r="K20" s="72"/>
      <c r="L20" s="72"/>
      <c r="M20" s="72"/>
      <c r="N20" s="72"/>
      <c r="O20" s="72"/>
      <c r="P20" s="50"/>
      <c r="Q20" s="55">
        <f t="shared" si="10"/>
        <v>0</v>
      </c>
      <c r="R20" s="45"/>
      <c r="S20" s="45"/>
      <c r="T20" s="45"/>
      <c r="U20" s="45"/>
      <c r="V20" s="45"/>
      <c r="W20" s="45"/>
      <c r="X20" s="45"/>
      <c r="Y20" s="45"/>
      <c r="Z20" s="45"/>
    </row>
    <row r="21" spans="2:26" x14ac:dyDescent="0.25">
      <c r="B21" s="131" t="s">
        <v>203</v>
      </c>
      <c r="C21" s="45"/>
      <c r="D21" s="49" t="s">
        <v>162</v>
      </c>
      <c r="E21" s="72"/>
      <c r="F21" s="72"/>
      <c r="G21" s="72"/>
      <c r="H21" s="72"/>
      <c r="I21" s="72"/>
      <c r="J21" s="72"/>
      <c r="K21" s="72"/>
      <c r="L21" s="72"/>
      <c r="M21" s="72"/>
      <c r="N21" s="72"/>
      <c r="O21" s="72"/>
      <c r="P21" s="50"/>
      <c r="Q21" s="55">
        <f t="shared" si="10"/>
        <v>0</v>
      </c>
      <c r="R21" s="45"/>
      <c r="S21" s="45"/>
      <c r="T21" s="45"/>
      <c r="U21" s="45"/>
      <c r="V21" s="45"/>
      <c r="W21" s="45"/>
      <c r="X21" s="45"/>
      <c r="Y21" s="45"/>
      <c r="Z21" s="45"/>
    </row>
    <row r="22" spans="2:26" x14ac:dyDescent="0.25">
      <c r="B22" s="56" t="s">
        <v>111</v>
      </c>
      <c r="C22" s="45"/>
      <c r="D22" s="49" t="s">
        <v>162</v>
      </c>
      <c r="E22" s="72"/>
      <c r="F22" s="72"/>
      <c r="G22" s="72"/>
      <c r="H22" s="72"/>
      <c r="I22" s="72"/>
      <c r="J22" s="72"/>
      <c r="K22" s="72"/>
      <c r="L22" s="72"/>
      <c r="M22" s="72"/>
      <c r="N22" s="72"/>
      <c r="O22" s="72"/>
      <c r="P22" s="50"/>
      <c r="Q22" s="55">
        <f t="shared" si="10"/>
        <v>0</v>
      </c>
      <c r="R22" s="45"/>
      <c r="S22" s="45"/>
      <c r="T22" s="45"/>
      <c r="U22" s="45"/>
      <c r="V22" s="45"/>
      <c r="W22" s="45"/>
      <c r="X22" s="45"/>
      <c r="Y22" s="45"/>
      <c r="Z22" s="45"/>
    </row>
    <row r="23" spans="2:26" x14ac:dyDescent="0.25">
      <c r="B23" s="62" t="s">
        <v>204</v>
      </c>
      <c r="C23" s="45"/>
      <c r="E23" s="55">
        <f>SUM(E24:E27)</f>
        <v>0</v>
      </c>
      <c r="F23" s="55">
        <f t="shared" ref="F23" si="12">SUM(F24:F27)</f>
        <v>0</v>
      </c>
      <c r="G23" s="55">
        <f t="shared" ref="G23" si="13">SUM(G24:G27)</f>
        <v>0</v>
      </c>
      <c r="H23" s="55">
        <f t="shared" ref="H23" si="14">SUM(H24:H27)</f>
        <v>0</v>
      </c>
      <c r="I23" s="55">
        <f t="shared" ref="I23" si="15">SUM(I24:I27)</f>
        <v>0</v>
      </c>
      <c r="J23" s="55">
        <f t="shared" ref="J23" si="16">SUM(J24:J27)</f>
        <v>0</v>
      </c>
      <c r="K23" s="55">
        <f t="shared" ref="K23" si="17">SUM(K24:K27)</f>
        <v>0</v>
      </c>
      <c r="L23" s="55">
        <f t="shared" ref="L23" si="18">SUM(L24:L27)</f>
        <v>0</v>
      </c>
      <c r="M23" s="55">
        <f t="shared" ref="M23" si="19">SUM(M24:M27)</f>
        <v>0</v>
      </c>
      <c r="N23" s="55">
        <f t="shared" ref="N23" si="20">SUM(N24:N27)</f>
        <v>0</v>
      </c>
      <c r="O23" s="55">
        <f t="shared" ref="O23" si="21">SUM(O24:O27)</f>
        <v>0</v>
      </c>
      <c r="P23" s="50"/>
      <c r="Q23" s="55">
        <f t="shared" si="10"/>
        <v>0</v>
      </c>
      <c r="R23" s="45"/>
      <c r="S23" s="45"/>
      <c r="T23" s="45"/>
      <c r="U23" s="45"/>
      <c r="V23" s="45"/>
      <c r="W23" s="45"/>
      <c r="X23" s="45"/>
      <c r="Y23" s="45"/>
      <c r="Z23" s="45"/>
    </row>
    <row r="24" spans="2:26" x14ac:dyDescent="0.25">
      <c r="B24" s="131" t="s">
        <v>205</v>
      </c>
      <c r="C24" s="45"/>
      <c r="D24" s="49" t="s">
        <v>162</v>
      </c>
      <c r="E24" s="72"/>
      <c r="F24" s="72"/>
      <c r="G24" s="72"/>
      <c r="H24" s="72"/>
      <c r="I24" s="72"/>
      <c r="J24" s="72"/>
      <c r="K24" s="72"/>
      <c r="L24" s="72"/>
      <c r="M24" s="72"/>
      <c r="N24" s="72"/>
      <c r="O24" s="72"/>
      <c r="P24" s="50"/>
      <c r="Q24" s="55">
        <f t="shared" si="10"/>
        <v>0</v>
      </c>
      <c r="R24" s="45"/>
      <c r="S24" s="45"/>
      <c r="T24" s="45"/>
      <c r="U24" s="45"/>
      <c r="V24" s="45"/>
      <c r="W24" s="45"/>
      <c r="X24" s="45"/>
      <c r="Y24" s="45"/>
      <c r="Z24" s="45"/>
    </row>
    <row r="25" spans="2:26" x14ac:dyDescent="0.25">
      <c r="B25" s="131" t="s">
        <v>206</v>
      </c>
      <c r="C25" s="45"/>
      <c r="D25" s="49" t="s">
        <v>162</v>
      </c>
      <c r="E25" s="72"/>
      <c r="F25" s="72"/>
      <c r="G25" s="72"/>
      <c r="H25" s="72"/>
      <c r="I25" s="72"/>
      <c r="J25" s="72"/>
      <c r="K25" s="72"/>
      <c r="L25" s="72"/>
      <c r="M25" s="72"/>
      <c r="N25" s="72"/>
      <c r="O25" s="72"/>
      <c r="P25" s="50"/>
      <c r="Q25" s="55">
        <f t="shared" si="10"/>
        <v>0</v>
      </c>
      <c r="R25" s="45"/>
      <c r="S25" s="45"/>
      <c r="T25" s="45"/>
      <c r="U25" s="45"/>
      <c r="V25" s="45"/>
      <c r="W25" s="45"/>
      <c r="X25" s="45"/>
      <c r="Y25" s="45"/>
      <c r="Z25" s="45"/>
    </row>
    <row r="26" spans="2:26" x14ac:dyDescent="0.25">
      <c r="B26" s="131" t="s">
        <v>207</v>
      </c>
      <c r="C26" s="45"/>
      <c r="D26" s="49" t="s">
        <v>162</v>
      </c>
      <c r="E26" s="72"/>
      <c r="F26" s="72"/>
      <c r="G26" s="72"/>
      <c r="H26" s="72"/>
      <c r="I26" s="72"/>
      <c r="J26" s="72"/>
      <c r="K26" s="72"/>
      <c r="L26" s="72"/>
      <c r="M26" s="72"/>
      <c r="N26" s="72"/>
      <c r="O26" s="72"/>
      <c r="P26" s="50"/>
      <c r="Q26" s="55">
        <f t="shared" si="10"/>
        <v>0</v>
      </c>
      <c r="R26" s="45"/>
      <c r="S26" s="45"/>
      <c r="T26" s="45"/>
      <c r="U26" s="45"/>
      <c r="V26" s="45"/>
      <c r="W26" s="45"/>
      <c r="X26" s="45"/>
      <c r="Y26" s="45"/>
      <c r="Z26" s="45"/>
    </row>
    <row r="27" spans="2:26" x14ac:dyDescent="0.25">
      <c r="B27" s="56" t="s">
        <v>111</v>
      </c>
      <c r="C27" s="45"/>
      <c r="D27" s="49" t="s">
        <v>162</v>
      </c>
      <c r="E27" s="72"/>
      <c r="F27" s="72"/>
      <c r="G27" s="72"/>
      <c r="H27" s="72"/>
      <c r="I27" s="72"/>
      <c r="J27" s="72"/>
      <c r="K27" s="72"/>
      <c r="L27" s="72"/>
      <c r="M27" s="72"/>
      <c r="N27" s="72"/>
      <c r="O27" s="72"/>
      <c r="P27" s="50"/>
      <c r="Q27" s="55">
        <f t="shared" si="10"/>
        <v>0</v>
      </c>
      <c r="R27" s="45"/>
      <c r="S27" s="45"/>
      <c r="T27" s="45"/>
      <c r="U27" s="45"/>
      <c r="V27" s="45"/>
      <c r="W27" s="45"/>
      <c r="X27" s="45"/>
      <c r="Y27" s="45"/>
      <c r="Z27" s="45"/>
    </row>
    <row r="28" spans="2:26" x14ac:dyDescent="0.25">
      <c r="C28" s="45"/>
      <c r="E28" s="50"/>
      <c r="F28" s="50"/>
      <c r="G28" s="50"/>
      <c r="H28" s="50"/>
      <c r="I28" s="50"/>
      <c r="J28" s="50"/>
      <c r="K28" s="50"/>
      <c r="L28" s="50"/>
      <c r="M28" s="50"/>
      <c r="N28" s="50"/>
      <c r="O28" s="50"/>
      <c r="P28" s="50"/>
      <c r="Q28" s="50"/>
      <c r="R28" s="45"/>
      <c r="S28" s="45"/>
      <c r="T28" s="45"/>
      <c r="U28" s="45"/>
      <c r="V28" s="45"/>
      <c r="W28" s="45"/>
      <c r="X28" s="45"/>
      <c r="Y28" s="45"/>
      <c r="Z28" s="45"/>
    </row>
    <row r="29" spans="2:26" x14ac:dyDescent="0.25">
      <c r="B29" s="62" t="s">
        <v>196</v>
      </c>
      <c r="C29" s="45"/>
      <c r="E29" s="55">
        <f>E13+E18+E23</f>
        <v>0</v>
      </c>
      <c r="F29" s="55">
        <f t="shared" ref="F29:O29" si="22">F13+F18+F23</f>
        <v>0</v>
      </c>
      <c r="G29" s="55">
        <f t="shared" si="22"/>
        <v>0</v>
      </c>
      <c r="H29" s="55">
        <f t="shared" si="22"/>
        <v>0</v>
      </c>
      <c r="I29" s="55">
        <f t="shared" si="22"/>
        <v>0</v>
      </c>
      <c r="J29" s="55">
        <f t="shared" si="22"/>
        <v>0</v>
      </c>
      <c r="K29" s="55">
        <f t="shared" si="22"/>
        <v>0</v>
      </c>
      <c r="L29" s="55">
        <f t="shared" si="22"/>
        <v>0</v>
      </c>
      <c r="M29" s="55">
        <f t="shared" si="22"/>
        <v>0</v>
      </c>
      <c r="N29" s="55">
        <f t="shared" si="22"/>
        <v>0</v>
      </c>
      <c r="O29" s="55">
        <f t="shared" si="22"/>
        <v>0</v>
      </c>
      <c r="P29" s="50"/>
      <c r="Q29" s="55">
        <f>SUM(E29:O29)</f>
        <v>0</v>
      </c>
      <c r="R29" s="45"/>
      <c r="S29" s="45"/>
      <c r="T29" s="45"/>
      <c r="U29" s="45"/>
      <c r="V29" s="45"/>
      <c r="W29" s="45"/>
      <c r="X29" s="45"/>
      <c r="Y29" s="45"/>
      <c r="Z29" s="45"/>
    </row>
    <row r="30" spans="2:26" x14ac:dyDescent="0.25">
      <c r="B30" s="40"/>
      <c r="C30" s="45"/>
      <c r="E30" s="45"/>
      <c r="F30" s="45"/>
      <c r="G30" s="45"/>
      <c r="H30" s="45"/>
      <c r="I30" s="45"/>
      <c r="J30" s="45"/>
      <c r="K30" s="45"/>
      <c r="L30" s="45"/>
      <c r="M30" s="45"/>
      <c r="N30" s="45"/>
      <c r="O30" s="45"/>
      <c r="P30" s="45"/>
      <c r="Q30" s="50"/>
      <c r="R30" s="45"/>
      <c r="S30" s="45"/>
      <c r="T30" s="45"/>
      <c r="U30" s="45"/>
      <c r="V30" s="45"/>
      <c r="W30" s="45"/>
      <c r="X30" s="45"/>
      <c r="Y30" s="45"/>
      <c r="Z30" s="45"/>
    </row>
    <row r="31" spans="2:26" x14ac:dyDescent="0.25">
      <c r="B31" s="47" t="s">
        <v>208</v>
      </c>
      <c r="C31" s="45"/>
      <c r="E31" s="45"/>
      <c r="F31" s="45"/>
      <c r="G31" s="45"/>
      <c r="H31" s="45"/>
      <c r="I31" s="45"/>
      <c r="J31" s="45"/>
      <c r="K31" s="45"/>
      <c r="L31" s="45"/>
      <c r="M31" s="45"/>
      <c r="N31" s="45"/>
      <c r="O31" s="45"/>
      <c r="P31" s="45"/>
      <c r="Q31" s="50"/>
      <c r="R31" s="45"/>
      <c r="S31" s="45"/>
      <c r="T31" s="45"/>
      <c r="U31" s="45"/>
      <c r="V31" s="45"/>
      <c r="W31" s="45"/>
      <c r="X31" s="45"/>
      <c r="Y31" s="45"/>
      <c r="Z31" s="45"/>
    </row>
    <row r="32" spans="2:26" x14ac:dyDescent="0.25">
      <c r="B32" s="56" t="s">
        <v>238</v>
      </c>
      <c r="C32" s="45"/>
      <c r="D32" s="49" t="s">
        <v>211</v>
      </c>
      <c r="E32" s="113"/>
      <c r="F32" s="45"/>
      <c r="G32" s="45"/>
      <c r="H32" s="45"/>
      <c r="I32" s="45"/>
      <c r="J32" s="45"/>
      <c r="K32" s="45"/>
      <c r="L32" s="45"/>
      <c r="M32" s="45"/>
      <c r="N32" s="45"/>
      <c r="O32" s="45"/>
      <c r="P32" s="45"/>
      <c r="Q32" s="50"/>
      <c r="R32" s="45"/>
      <c r="S32" s="45"/>
      <c r="T32" s="45"/>
      <c r="U32" s="45"/>
      <c r="V32" s="45"/>
      <c r="W32" s="45"/>
      <c r="X32" s="45"/>
      <c r="Y32" s="45"/>
      <c r="Z32" s="45"/>
    </row>
    <row r="33" spans="2:26" x14ac:dyDescent="0.25">
      <c r="B33" s="56" t="s">
        <v>239</v>
      </c>
      <c r="C33" s="45"/>
      <c r="D33" s="49" t="s">
        <v>211</v>
      </c>
      <c r="E33" s="113"/>
      <c r="F33" s="45"/>
      <c r="G33" s="45"/>
      <c r="H33" s="45"/>
      <c r="I33" s="45"/>
      <c r="J33" s="45"/>
      <c r="K33" s="45"/>
      <c r="L33" s="45"/>
      <c r="M33" s="45"/>
      <c r="N33" s="45"/>
      <c r="O33" s="45"/>
      <c r="P33" s="45"/>
      <c r="Q33" s="50"/>
      <c r="R33" s="45"/>
      <c r="S33" s="45"/>
      <c r="T33" s="45"/>
      <c r="U33" s="45"/>
      <c r="V33" s="45"/>
      <c r="W33" s="45"/>
      <c r="X33" s="45"/>
      <c r="Y33" s="45"/>
      <c r="Z33" s="45"/>
    </row>
    <row r="34" spans="2:26" s="76" customFormat="1" ht="4.2" x14ac:dyDescent="0.15">
      <c r="B34" s="115"/>
      <c r="C34" s="74"/>
      <c r="D34" s="103"/>
      <c r="E34" s="74"/>
      <c r="F34" s="74"/>
      <c r="G34" s="74"/>
      <c r="H34" s="74"/>
      <c r="I34" s="74"/>
      <c r="J34" s="74"/>
      <c r="K34" s="74"/>
      <c r="L34" s="74"/>
      <c r="M34" s="74"/>
      <c r="N34" s="74"/>
      <c r="O34" s="74"/>
      <c r="P34" s="74"/>
      <c r="Q34" s="86"/>
      <c r="R34" s="74"/>
      <c r="S34" s="74"/>
      <c r="T34" s="74"/>
      <c r="U34" s="74"/>
      <c r="V34" s="74"/>
      <c r="W34" s="74"/>
      <c r="X34" s="74"/>
      <c r="Y34" s="74"/>
      <c r="Z34" s="74"/>
    </row>
    <row r="35" spans="2:26" x14ac:dyDescent="0.25">
      <c r="B35" s="106"/>
      <c r="C35" s="79"/>
      <c r="D35" s="105"/>
      <c r="E35" s="79"/>
      <c r="F35" s="79"/>
      <c r="G35" s="79"/>
      <c r="H35" s="79"/>
      <c r="I35" s="79"/>
      <c r="J35" s="79"/>
      <c r="K35" s="79"/>
      <c r="L35" s="79"/>
      <c r="M35" s="79"/>
      <c r="N35" s="79"/>
      <c r="O35" s="79"/>
      <c r="P35" s="45"/>
      <c r="Q35" s="50"/>
      <c r="R35" s="45"/>
      <c r="S35" s="45"/>
      <c r="T35" s="45"/>
      <c r="U35" s="45"/>
      <c r="V35" s="45"/>
      <c r="W35" s="45"/>
      <c r="X35" s="45"/>
      <c r="Y35" s="45"/>
      <c r="Z35" s="45"/>
    </row>
    <row r="36" spans="2:26" s="76" customFormat="1" ht="4.2" x14ac:dyDescent="0.15">
      <c r="B36" s="115"/>
      <c r="C36" s="74"/>
      <c r="D36" s="103"/>
      <c r="E36" s="74"/>
      <c r="F36" s="74"/>
      <c r="G36" s="74"/>
      <c r="H36" s="74"/>
      <c r="I36" s="74"/>
      <c r="J36" s="74"/>
      <c r="K36" s="74"/>
      <c r="L36" s="74"/>
      <c r="M36" s="74"/>
      <c r="N36" s="74"/>
      <c r="O36" s="74"/>
      <c r="P36" s="74"/>
      <c r="Q36" s="86"/>
      <c r="R36" s="74"/>
      <c r="S36" s="74"/>
      <c r="T36" s="74"/>
      <c r="U36" s="74"/>
      <c r="V36" s="74"/>
      <c r="W36" s="74"/>
      <c r="X36" s="74"/>
      <c r="Y36" s="74"/>
      <c r="Z36" s="74"/>
    </row>
    <row r="37" spans="2:26" x14ac:dyDescent="0.25">
      <c r="B37" s="47" t="s">
        <v>212</v>
      </c>
      <c r="C37" s="45"/>
      <c r="E37" s="45"/>
      <c r="F37" s="45"/>
      <c r="G37" s="45"/>
      <c r="H37" s="45"/>
      <c r="I37" s="45"/>
      <c r="J37" s="45"/>
      <c r="K37" s="45"/>
      <c r="L37" s="45"/>
      <c r="M37" s="45"/>
      <c r="N37" s="45"/>
      <c r="O37" s="45"/>
      <c r="P37" s="45"/>
      <c r="Q37" s="50"/>
      <c r="R37" s="45"/>
      <c r="S37" s="45"/>
      <c r="T37" s="45"/>
      <c r="U37" s="45"/>
      <c r="V37" s="45"/>
      <c r="W37" s="45"/>
      <c r="X37" s="45"/>
      <c r="Y37" s="45"/>
      <c r="Z37" s="45"/>
    </row>
    <row r="38" spans="2:26" x14ac:dyDescent="0.25">
      <c r="B38" s="62" t="s">
        <v>150</v>
      </c>
      <c r="C38" s="45"/>
      <c r="E38" s="55">
        <f>SUM(E39:E42)</f>
        <v>0</v>
      </c>
      <c r="F38" s="55">
        <f t="shared" ref="F38:O38" si="23">SUM(F39:F42)</f>
        <v>0</v>
      </c>
      <c r="G38" s="55">
        <f t="shared" si="23"/>
        <v>0</v>
      </c>
      <c r="H38" s="55">
        <f t="shared" si="23"/>
        <v>0</v>
      </c>
      <c r="I38" s="55">
        <f t="shared" si="23"/>
        <v>0</v>
      </c>
      <c r="J38" s="55">
        <f t="shared" si="23"/>
        <v>0</v>
      </c>
      <c r="K38" s="55">
        <f t="shared" si="23"/>
        <v>0</v>
      </c>
      <c r="L38" s="55">
        <f t="shared" si="23"/>
        <v>0</v>
      </c>
      <c r="M38" s="55">
        <f t="shared" si="23"/>
        <v>0</v>
      </c>
      <c r="N38" s="55">
        <f t="shared" si="23"/>
        <v>0</v>
      </c>
      <c r="O38" s="55">
        <f t="shared" si="23"/>
        <v>0</v>
      </c>
      <c r="P38" s="50"/>
      <c r="Q38" s="55">
        <f>SUM(E38:O38)</f>
        <v>0</v>
      </c>
      <c r="R38" s="45"/>
      <c r="S38" s="45"/>
      <c r="T38" s="45"/>
      <c r="U38" s="45"/>
      <c r="V38" s="45"/>
      <c r="W38" s="45"/>
      <c r="X38" s="45"/>
      <c r="Y38" s="45"/>
      <c r="Z38" s="45"/>
    </row>
    <row r="39" spans="2:26" x14ac:dyDescent="0.25">
      <c r="B39" s="83" t="s">
        <v>178</v>
      </c>
      <c r="C39" s="45"/>
      <c r="D39" s="49" t="s">
        <v>162</v>
      </c>
      <c r="E39" s="72"/>
      <c r="F39" s="72"/>
      <c r="G39" s="72"/>
      <c r="H39" s="72"/>
      <c r="I39" s="72"/>
      <c r="J39" s="72"/>
      <c r="K39" s="72"/>
      <c r="L39" s="72"/>
      <c r="M39" s="72"/>
      <c r="N39" s="72"/>
      <c r="O39" s="72"/>
      <c r="P39" s="50"/>
      <c r="Q39" s="55">
        <f>SUM(E39:O39)</f>
        <v>0</v>
      </c>
      <c r="R39" s="45"/>
      <c r="S39" s="45"/>
      <c r="T39" s="45"/>
      <c r="U39" s="45"/>
      <c r="V39" s="45"/>
      <c r="W39" s="45"/>
      <c r="X39" s="45"/>
      <c r="Y39" s="45"/>
      <c r="Z39" s="45"/>
    </row>
    <row r="40" spans="2:26" x14ac:dyDescent="0.25">
      <c r="B40" s="83" t="s">
        <v>179</v>
      </c>
      <c r="C40" s="45"/>
      <c r="D40" s="49" t="s">
        <v>162</v>
      </c>
      <c r="E40" s="72"/>
      <c r="F40" s="72"/>
      <c r="G40" s="72"/>
      <c r="H40" s="72"/>
      <c r="I40" s="72"/>
      <c r="J40" s="72"/>
      <c r="K40" s="72"/>
      <c r="L40" s="72"/>
      <c r="M40" s="72"/>
      <c r="N40" s="72"/>
      <c r="O40" s="72"/>
      <c r="P40" s="50"/>
      <c r="Q40" s="55">
        <f>SUM(E40:O40)</f>
        <v>0</v>
      </c>
      <c r="R40" s="45"/>
      <c r="S40" s="45"/>
      <c r="T40" s="45"/>
      <c r="U40" s="45"/>
      <c r="V40" s="45"/>
      <c r="W40" s="45"/>
      <c r="X40" s="45"/>
      <c r="Y40" s="45"/>
      <c r="Z40" s="45"/>
    </row>
    <row r="41" spans="2:26" x14ac:dyDescent="0.25">
      <c r="B41" s="83" t="s">
        <v>180</v>
      </c>
      <c r="C41" s="45"/>
      <c r="D41" s="49" t="s">
        <v>162</v>
      </c>
      <c r="E41" s="72"/>
      <c r="F41" s="72"/>
      <c r="G41" s="72"/>
      <c r="H41" s="72"/>
      <c r="I41" s="72"/>
      <c r="J41" s="72"/>
      <c r="K41" s="72"/>
      <c r="L41" s="72"/>
      <c r="M41" s="72"/>
      <c r="N41" s="72"/>
      <c r="O41" s="72"/>
      <c r="P41" s="50"/>
      <c r="Q41" s="55">
        <f>SUM(E41:O41)</f>
        <v>0</v>
      </c>
      <c r="R41" s="45"/>
      <c r="S41" s="45"/>
      <c r="T41" s="45"/>
      <c r="U41" s="45"/>
      <c r="V41" s="45"/>
      <c r="W41" s="45"/>
      <c r="X41" s="45"/>
      <c r="Y41" s="45"/>
      <c r="Z41" s="45"/>
    </row>
    <row r="42" spans="2:26" x14ac:dyDescent="0.25">
      <c r="B42" s="83" t="s">
        <v>111</v>
      </c>
      <c r="C42" s="45"/>
      <c r="D42" s="49" t="s">
        <v>162</v>
      </c>
      <c r="E42" s="72"/>
      <c r="F42" s="72"/>
      <c r="G42" s="72"/>
      <c r="H42" s="72"/>
      <c r="I42" s="72"/>
      <c r="J42" s="72"/>
      <c r="K42" s="72"/>
      <c r="L42" s="72"/>
      <c r="M42" s="72"/>
      <c r="N42" s="72"/>
      <c r="O42" s="72"/>
      <c r="P42" s="50"/>
      <c r="Q42" s="55">
        <f>SUM(E42:O42)</f>
        <v>0</v>
      </c>
      <c r="R42" s="45"/>
      <c r="S42" s="45"/>
      <c r="T42" s="45"/>
      <c r="U42" s="45"/>
      <c r="V42" s="45"/>
      <c r="W42" s="45"/>
      <c r="X42" s="45"/>
      <c r="Y42" s="45"/>
      <c r="Z42" s="45"/>
    </row>
    <row r="43" spans="2:26" x14ac:dyDescent="0.25">
      <c r="B43" s="47"/>
      <c r="C43" s="45"/>
      <c r="E43" s="50"/>
      <c r="F43" s="50"/>
      <c r="G43" s="50"/>
      <c r="H43" s="50"/>
      <c r="I43" s="50"/>
      <c r="J43" s="50"/>
      <c r="K43" s="50"/>
      <c r="L43" s="50"/>
      <c r="M43" s="50"/>
      <c r="N43" s="50"/>
      <c r="O43" s="50"/>
      <c r="P43" s="50"/>
      <c r="Q43" s="50"/>
      <c r="R43" s="45"/>
      <c r="S43" s="45"/>
      <c r="T43" s="45"/>
      <c r="U43" s="45"/>
      <c r="V43" s="45"/>
      <c r="W43" s="45"/>
      <c r="X43" s="45"/>
      <c r="Y43" s="45"/>
      <c r="Z43" s="45"/>
    </row>
    <row r="44" spans="2:26" x14ac:dyDescent="0.25">
      <c r="B44" s="62" t="s">
        <v>151</v>
      </c>
      <c r="C44" s="45"/>
      <c r="E44" s="55">
        <f t="shared" ref="E44:O44" si="24">E45+E50</f>
        <v>0</v>
      </c>
      <c r="F44" s="55">
        <f t="shared" si="24"/>
        <v>0</v>
      </c>
      <c r="G44" s="55">
        <f t="shared" si="24"/>
        <v>0</v>
      </c>
      <c r="H44" s="55">
        <f t="shared" si="24"/>
        <v>0</v>
      </c>
      <c r="I44" s="55">
        <f t="shared" si="24"/>
        <v>0</v>
      </c>
      <c r="J44" s="55">
        <f t="shared" si="24"/>
        <v>0</v>
      </c>
      <c r="K44" s="55">
        <f t="shared" si="24"/>
        <v>0</v>
      </c>
      <c r="L44" s="55">
        <f t="shared" si="24"/>
        <v>0</v>
      </c>
      <c r="M44" s="55">
        <f t="shared" si="24"/>
        <v>0</v>
      </c>
      <c r="N44" s="55">
        <f t="shared" si="24"/>
        <v>0</v>
      </c>
      <c r="O44" s="55">
        <f t="shared" si="24"/>
        <v>0</v>
      </c>
      <c r="P44" s="50"/>
      <c r="Q44" s="55">
        <f t="shared" ref="Q44:Q54" si="25">SUM(E44:O44)</f>
        <v>0</v>
      </c>
      <c r="R44" s="45"/>
      <c r="S44" s="45"/>
      <c r="T44" s="45"/>
      <c r="U44" s="45"/>
      <c r="V44" s="45"/>
      <c r="W44" s="45"/>
      <c r="X44" s="45"/>
      <c r="Y44" s="45"/>
      <c r="Z44" s="45"/>
    </row>
    <row r="45" spans="2:26" x14ac:dyDescent="0.25">
      <c r="B45" s="84" t="s">
        <v>152</v>
      </c>
      <c r="C45" s="45"/>
      <c r="E45" s="55">
        <f t="shared" ref="E45:O45" si="26">SUM(E46:E49)</f>
        <v>0</v>
      </c>
      <c r="F45" s="55">
        <f t="shared" si="26"/>
        <v>0</v>
      </c>
      <c r="G45" s="55">
        <f t="shared" si="26"/>
        <v>0</v>
      </c>
      <c r="H45" s="55">
        <f t="shared" si="26"/>
        <v>0</v>
      </c>
      <c r="I45" s="55">
        <f t="shared" si="26"/>
        <v>0</v>
      </c>
      <c r="J45" s="55">
        <f t="shared" si="26"/>
        <v>0</v>
      </c>
      <c r="K45" s="55">
        <f t="shared" si="26"/>
        <v>0</v>
      </c>
      <c r="L45" s="55">
        <f t="shared" si="26"/>
        <v>0</v>
      </c>
      <c r="M45" s="55">
        <f t="shared" si="26"/>
        <v>0</v>
      </c>
      <c r="N45" s="55">
        <f t="shared" si="26"/>
        <v>0</v>
      </c>
      <c r="O45" s="55">
        <f t="shared" si="26"/>
        <v>0</v>
      </c>
      <c r="P45" s="50"/>
      <c r="Q45" s="55">
        <f t="shared" si="25"/>
        <v>0</v>
      </c>
      <c r="R45" s="45"/>
      <c r="S45" s="45"/>
      <c r="T45" s="45"/>
      <c r="U45" s="45"/>
      <c r="V45" s="45"/>
      <c r="W45" s="45"/>
      <c r="X45" s="45"/>
      <c r="Y45" s="45"/>
      <c r="Z45" s="45"/>
    </row>
    <row r="46" spans="2:26" x14ac:dyDescent="0.25">
      <c r="B46" s="83" t="s">
        <v>181</v>
      </c>
      <c r="C46" s="45"/>
      <c r="D46" s="49" t="s">
        <v>162</v>
      </c>
      <c r="E46" s="72"/>
      <c r="F46" s="72"/>
      <c r="G46" s="72"/>
      <c r="H46" s="72"/>
      <c r="I46" s="72"/>
      <c r="J46" s="72"/>
      <c r="K46" s="72"/>
      <c r="L46" s="72"/>
      <c r="M46" s="72"/>
      <c r="N46" s="72"/>
      <c r="O46" s="72"/>
      <c r="P46" s="50"/>
      <c r="Q46" s="55">
        <f t="shared" si="25"/>
        <v>0</v>
      </c>
      <c r="R46" s="45"/>
      <c r="S46" s="45"/>
      <c r="T46" s="45"/>
      <c r="U46" s="45"/>
      <c r="V46" s="45"/>
      <c r="W46" s="45"/>
      <c r="X46" s="45"/>
      <c r="Y46" s="45"/>
      <c r="Z46" s="45"/>
    </row>
    <row r="47" spans="2:26" x14ac:dyDescent="0.25">
      <c r="B47" s="83" t="s">
        <v>182</v>
      </c>
      <c r="C47" s="45"/>
      <c r="D47" s="49" t="s">
        <v>162</v>
      </c>
      <c r="E47" s="72"/>
      <c r="F47" s="72"/>
      <c r="G47" s="72"/>
      <c r="H47" s="72"/>
      <c r="I47" s="72"/>
      <c r="J47" s="72"/>
      <c r="K47" s="72"/>
      <c r="L47" s="72"/>
      <c r="M47" s="72"/>
      <c r="N47" s="72"/>
      <c r="O47" s="72"/>
      <c r="P47" s="50"/>
      <c r="Q47" s="55">
        <f t="shared" si="25"/>
        <v>0</v>
      </c>
      <c r="R47" s="45"/>
      <c r="S47" s="45"/>
      <c r="T47" s="45"/>
      <c r="U47" s="45"/>
      <c r="V47" s="45"/>
      <c r="W47" s="45"/>
      <c r="X47" s="45"/>
      <c r="Y47" s="45"/>
      <c r="Z47" s="45"/>
    </row>
    <row r="48" spans="2:26" x14ac:dyDescent="0.25">
      <c r="B48" s="83" t="s">
        <v>183</v>
      </c>
      <c r="C48" s="45"/>
      <c r="D48" s="49" t="s">
        <v>162</v>
      </c>
      <c r="E48" s="72"/>
      <c r="F48" s="72"/>
      <c r="G48" s="72"/>
      <c r="H48" s="72"/>
      <c r="I48" s="72"/>
      <c r="J48" s="72"/>
      <c r="K48" s="72"/>
      <c r="L48" s="72"/>
      <c r="M48" s="72"/>
      <c r="N48" s="72"/>
      <c r="O48" s="72"/>
      <c r="P48" s="50"/>
      <c r="Q48" s="55">
        <f t="shared" si="25"/>
        <v>0</v>
      </c>
      <c r="R48" s="45"/>
      <c r="S48" s="45"/>
      <c r="T48" s="45"/>
      <c r="U48" s="45"/>
      <c r="V48" s="45"/>
      <c r="W48" s="45"/>
      <c r="X48" s="45"/>
      <c r="Y48" s="45"/>
      <c r="Z48" s="45"/>
    </row>
    <row r="49" spans="2:26" x14ac:dyDescent="0.25">
      <c r="B49" s="83" t="s">
        <v>111</v>
      </c>
      <c r="C49" s="45"/>
      <c r="D49" s="49" t="s">
        <v>162</v>
      </c>
      <c r="E49" s="72"/>
      <c r="F49" s="72"/>
      <c r="G49" s="72"/>
      <c r="H49" s="72"/>
      <c r="I49" s="72"/>
      <c r="J49" s="72"/>
      <c r="K49" s="72"/>
      <c r="L49" s="72"/>
      <c r="M49" s="72"/>
      <c r="N49" s="72"/>
      <c r="O49" s="72"/>
      <c r="P49" s="50"/>
      <c r="Q49" s="55">
        <f t="shared" si="25"/>
        <v>0</v>
      </c>
      <c r="R49" s="45"/>
      <c r="S49" s="45"/>
      <c r="T49" s="45"/>
      <c r="U49" s="45"/>
      <c r="V49" s="45"/>
      <c r="W49" s="45"/>
      <c r="X49" s="45"/>
      <c r="Y49" s="45"/>
      <c r="Z49" s="45"/>
    </row>
    <row r="50" spans="2:26" x14ac:dyDescent="0.25">
      <c r="B50" s="84" t="s">
        <v>153</v>
      </c>
      <c r="C50" s="45"/>
      <c r="E50" s="55">
        <f t="shared" ref="E50:O50" si="27">SUM(E51:E54)</f>
        <v>0</v>
      </c>
      <c r="F50" s="55">
        <f t="shared" si="27"/>
        <v>0</v>
      </c>
      <c r="G50" s="55">
        <f t="shared" si="27"/>
        <v>0</v>
      </c>
      <c r="H50" s="55">
        <f t="shared" si="27"/>
        <v>0</v>
      </c>
      <c r="I50" s="55">
        <f t="shared" si="27"/>
        <v>0</v>
      </c>
      <c r="J50" s="55">
        <f t="shared" si="27"/>
        <v>0</v>
      </c>
      <c r="K50" s="55">
        <f t="shared" si="27"/>
        <v>0</v>
      </c>
      <c r="L50" s="55">
        <f t="shared" si="27"/>
        <v>0</v>
      </c>
      <c r="M50" s="55">
        <f t="shared" si="27"/>
        <v>0</v>
      </c>
      <c r="N50" s="55">
        <f t="shared" si="27"/>
        <v>0</v>
      </c>
      <c r="O50" s="55">
        <f t="shared" si="27"/>
        <v>0</v>
      </c>
      <c r="P50" s="50"/>
      <c r="Q50" s="55">
        <f t="shared" si="25"/>
        <v>0</v>
      </c>
      <c r="R50" s="45"/>
      <c r="S50" s="45"/>
      <c r="T50" s="45"/>
      <c r="U50" s="45"/>
      <c r="V50" s="45"/>
      <c r="W50" s="45"/>
      <c r="X50" s="45"/>
      <c r="Y50" s="45"/>
      <c r="Z50" s="45"/>
    </row>
    <row r="51" spans="2:26" x14ac:dyDescent="0.25">
      <c r="B51" s="83" t="s">
        <v>184</v>
      </c>
      <c r="C51" s="45"/>
      <c r="D51" s="49" t="s">
        <v>162</v>
      </c>
      <c r="E51" s="72"/>
      <c r="F51" s="72"/>
      <c r="G51" s="72"/>
      <c r="H51" s="72"/>
      <c r="I51" s="72"/>
      <c r="J51" s="72"/>
      <c r="K51" s="72"/>
      <c r="L51" s="72"/>
      <c r="M51" s="72"/>
      <c r="N51" s="72"/>
      <c r="O51" s="72"/>
      <c r="P51" s="50"/>
      <c r="Q51" s="55">
        <f t="shared" si="25"/>
        <v>0</v>
      </c>
      <c r="R51" s="45"/>
      <c r="S51" s="45"/>
      <c r="T51" s="45"/>
      <c r="U51" s="45"/>
      <c r="V51" s="45"/>
      <c r="W51" s="45"/>
      <c r="X51" s="45"/>
      <c r="Y51" s="45"/>
      <c r="Z51" s="45"/>
    </row>
    <row r="52" spans="2:26" x14ac:dyDescent="0.25">
      <c r="B52" s="83" t="s">
        <v>185</v>
      </c>
      <c r="C52" s="45"/>
      <c r="D52" s="49" t="s">
        <v>162</v>
      </c>
      <c r="E52" s="72"/>
      <c r="F52" s="72"/>
      <c r="G52" s="72"/>
      <c r="H52" s="72"/>
      <c r="I52" s="72"/>
      <c r="J52" s="72"/>
      <c r="K52" s="72"/>
      <c r="L52" s="72"/>
      <c r="M52" s="72"/>
      <c r="N52" s="72"/>
      <c r="O52" s="72"/>
      <c r="P52" s="50"/>
      <c r="Q52" s="55">
        <f t="shared" si="25"/>
        <v>0</v>
      </c>
      <c r="R52" s="45"/>
      <c r="S52" s="45"/>
      <c r="T52" s="45"/>
      <c r="U52" s="45"/>
      <c r="V52" s="45"/>
      <c r="W52" s="45"/>
      <c r="X52" s="45"/>
      <c r="Y52" s="45"/>
      <c r="Z52" s="45"/>
    </row>
    <row r="53" spans="2:26" x14ac:dyDescent="0.25">
      <c r="B53" s="83" t="s">
        <v>186</v>
      </c>
      <c r="C53" s="45"/>
      <c r="D53" s="49" t="s">
        <v>162</v>
      </c>
      <c r="E53" s="72"/>
      <c r="F53" s="72"/>
      <c r="G53" s="72"/>
      <c r="H53" s="72"/>
      <c r="I53" s="72"/>
      <c r="J53" s="72"/>
      <c r="K53" s="72"/>
      <c r="L53" s="72"/>
      <c r="M53" s="72"/>
      <c r="N53" s="72"/>
      <c r="O53" s="72"/>
      <c r="P53" s="50"/>
      <c r="Q53" s="55">
        <f t="shared" si="25"/>
        <v>0</v>
      </c>
      <c r="R53" s="45"/>
      <c r="S53" s="45"/>
      <c r="T53" s="45"/>
      <c r="U53" s="45"/>
      <c r="V53" s="45"/>
      <c r="W53" s="45"/>
      <c r="X53" s="45"/>
      <c r="Y53" s="45"/>
      <c r="Z53" s="45"/>
    </row>
    <row r="54" spans="2:26" x14ac:dyDescent="0.25">
      <c r="B54" s="83" t="s">
        <v>111</v>
      </c>
      <c r="C54" s="45"/>
      <c r="D54" s="49" t="s">
        <v>162</v>
      </c>
      <c r="E54" s="72"/>
      <c r="F54" s="72"/>
      <c r="G54" s="72"/>
      <c r="H54" s="72"/>
      <c r="I54" s="72"/>
      <c r="J54" s="72"/>
      <c r="K54" s="72"/>
      <c r="L54" s="72"/>
      <c r="M54" s="72"/>
      <c r="N54" s="72"/>
      <c r="O54" s="72"/>
      <c r="P54" s="50"/>
      <c r="Q54" s="55">
        <f t="shared" si="25"/>
        <v>0</v>
      </c>
      <c r="R54" s="45"/>
      <c r="S54" s="45"/>
      <c r="T54" s="45"/>
      <c r="U54" s="45"/>
      <c r="V54" s="45"/>
      <c r="W54" s="45"/>
      <c r="X54" s="45"/>
      <c r="Y54" s="45"/>
      <c r="Z54" s="45"/>
    </row>
    <row r="55" spans="2:26" x14ac:dyDescent="0.25">
      <c r="B55" s="40"/>
      <c r="C55" s="45"/>
      <c r="E55" s="50"/>
      <c r="F55" s="50"/>
      <c r="G55" s="50"/>
      <c r="H55" s="50"/>
      <c r="I55" s="50"/>
      <c r="J55" s="50"/>
      <c r="K55" s="50"/>
      <c r="L55" s="50"/>
      <c r="M55" s="50"/>
      <c r="N55" s="50"/>
      <c r="O55" s="50"/>
      <c r="P55" s="50"/>
      <c r="Q55" s="50"/>
      <c r="R55" s="45"/>
      <c r="S55" s="45"/>
      <c r="T55" s="45"/>
      <c r="U55" s="45"/>
      <c r="V55" s="45"/>
      <c r="W55" s="45"/>
      <c r="X55" s="45"/>
      <c r="Y55" s="45"/>
      <c r="Z55" s="45"/>
    </row>
    <row r="56" spans="2:26" x14ac:dyDescent="0.25">
      <c r="B56" s="101" t="s">
        <v>213</v>
      </c>
      <c r="D56" s="41" t="s">
        <v>162</v>
      </c>
      <c r="E56" s="151"/>
      <c r="F56" s="151"/>
      <c r="G56" s="151"/>
      <c r="H56" s="151"/>
      <c r="I56" s="151"/>
      <c r="J56" s="151"/>
      <c r="K56" s="151"/>
      <c r="L56" s="151"/>
      <c r="M56" s="151"/>
      <c r="N56" s="151"/>
      <c r="O56" s="151"/>
      <c r="P56" s="114"/>
      <c r="Q56" s="55">
        <f>SUM(E56:O56)</f>
        <v>0</v>
      </c>
      <c r="R56" s="45"/>
      <c r="S56" s="45"/>
      <c r="T56" s="45"/>
      <c r="U56" s="45"/>
      <c r="V56" s="45"/>
      <c r="W56" s="45"/>
      <c r="X56" s="45"/>
      <c r="Y56" s="45"/>
      <c r="Z56" s="45"/>
    </row>
    <row r="57" spans="2:26" x14ac:dyDescent="0.25">
      <c r="B57" s="94" t="s">
        <v>215</v>
      </c>
      <c r="D57" s="41" t="s">
        <v>163</v>
      </c>
      <c r="E57" s="108">
        <f>E91</f>
        <v>0</v>
      </c>
      <c r="F57" s="108">
        <f t="shared" ref="F57:O57" si="28">F91</f>
        <v>0</v>
      </c>
      <c r="G57" s="108">
        <f t="shared" si="28"/>
        <v>0</v>
      </c>
      <c r="H57" s="108">
        <f t="shared" si="28"/>
        <v>0</v>
      </c>
      <c r="I57" s="108">
        <f t="shared" si="28"/>
        <v>0</v>
      </c>
      <c r="J57" s="108">
        <f t="shared" si="28"/>
        <v>0</v>
      </c>
      <c r="K57" s="108">
        <f t="shared" si="28"/>
        <v>0</v>
      </c>
      <c r="L57" s="108">
        <f t="shared" si="28"/>
        <v>0</v>
      </c>
      <c r="M57" s="108">
        <f t="shared" si="28"/>
        <v>0</v>
      </c>
      <c r="N57" s="108">
        <f t="shared" si="28"/>
        <v>0</v>
      </c>
      <c r="O57" s="108">
        <f t="shared" si="28"/>
        <v>0</v>
      </c>
      <c r="P57" s="114"/>
      <c r="Q57" s="55">
        <f>SUM(E57:O57)</f>
        <v>0</v>
      </c>
      <c r="R57" s="45"/>
      <c r="S57" s="45"/>
      <c r="T57" s="45"/>
      <c r="U57" s="45"/>
      <c r="V57" s="45"/>
      <c r="W57" s="45"/>
      <c r="X57" s="45"/>
      <c r="Y57" s="45"/>
      <c r="Z57" s="45"/>
    </row>
    <row r="58" spans="2:26" x14ac:dyDescent="0.25">
      <c r="D58" s="1"/>
      <c r="E58" s="114"/>
      <c r="F58" s="114"/>
      <c r="G58" s="114"/>
      <c r="H58" s="114"/>
      <c r="I58" s="114"/>
      <c r="J58" s="114"/>
      <c r="K58" s="114"/>
      <c r="L58" s="114"/>
      <c r="M58" s="114"/>
      <c r="N58" s="114"/>
      <c r="O58" s="114"/>
      <c r="P58" s="114"/>
      <c r="Q58" s="114"/>
      <c r="R58" s="45"/>
      <c r="S58" s="45"/>
      <c r="T58" s="45"/>
      <c r="U58" s="45"/>
      <c r="V58" s="45"/>
      <c r="W58" s="45"/>
      <c r="X58" s="45"/>
      <c r="Y58" s="45"/>
      <c r="Z58" s="45"/>
    </row>
    <row r="59" spans="2:26" x14ac:dyDescent="0.25">
      <c r="B59" s="107" t="s">
        <v>209</v>
      </c>
      <c r="D59" s="1"/>
      <c r="E59" s="152">
        <f>E29*$E$32</f>
        <v>0</v>
      </c>
      <c r="F59" s="152">
        <f t="shared" ref="F59:O59" si="29">F29*$E$32</f>
        <v>0</v>
      </c>
      <c r="G59" s="152">
        <f t="shared" si="29"/>
        <v>0</v>
      </c>
      <c r="H59" s="152">
        <f t="shared" si="29"/>
        <v>0</v>
      </c>
      <c r="I59" s="152">
        <f t="shared" si="29"/>
        <v>0</v>
      </c>
      <c r="J59" s="152">
        <f t="shared" si="29"/>
        <v>0</v>
      </c>
      <c r="K59" s="152">
        <f t="shared" si="29"/>
        <v>0</v>
      </c>
      <c r="L59" s="152">
        <f t="shared" si="29"/>
        <v>0</v>
      </c>
      <c r="M59" s="152">
        <f t="shared" si="29"/>
        <v>0</v>
      </c>
      <c r="N59" s="152">
        <f t="shared" si="29"/>
        <v>0</v>
      </c>
      <c r="O59" s="152">
        <f t="shared" si="29"/>
        <v>0</v>
      </c>
      <c r="P59" s="114"/>
      <c r="Q59" s="55">
        <f>SUM(E59:O59)</f>
        <v>0</v>
      </c>
      <c r="R59" s="45"/>
      <c r="S59" s="45"/>
      <c r="T59" s="45"/>
      <c r="U59" s="45"/>
      <c r="V59" s="45"/>
      <c r="W59" s="45"/>
      <c r="X59" s="45"/>
      <c r="Y59" s="45"/>
      <c r="Z59" s="45"/>
    </row>
    <row r="60" spans="2:26" x14ac:dyDescent="0.25">
      <c r="D60" s="1"/>
      <c r="E60" s="114"/>
      <c r="F60" s="114"/>
      <c r="G60" s="114"/>
      <c r="H60" s="114"/>
      <c r="I60" s="114"/>
      <c r="J60" s="114"/>
      <c r="K60" s="114"/>
      <c r="L60" s="114"/>
      <c r="M60" s="114"/>
      <c r="N60" s="114"/>
      <c r="O60" s="114"/>
      <c r="P60" s="114"/>
      <c r="Q60" s="114"/>
      <c r="R60" s="45"/>
      <c r="S60" s="45"/>
      <c r="T60" s="45"/>
      <c r="U60" s="45"/>
      <c r="V60" s="45"/>
      <c r="W60" s="45"/>
      <c r="X60" s="45"/>
      <c r="Y60" s="45"/>
      <c r="Z60" s="45"/>
    </row>
    <row r="61" spans="2:26" x14ac:dyDescent="0.25">
      <c r="B61" s="62" t="s">
        <v>212</v>
      </c>
      <c r="C61" s="45"/>
      <c r="E61" s="55">
        <f>E38+E44+E56+E57+E59</f>
        <v>0</v>
      </c>
      <c r="F61" s="55">
        <f t="shared" ref="F61:O61" si="30">F38+F44+F56+F94</f>
        <v>0</v>
      </c>
      <c r="G61" s="55">
        <f t="shared" si="30"/>
        <v>0</v>
      </c>
      <c r="H61" s="55">
        <f t="shared" si="30"/>
        <v>0</v>
      </c>
      <c r="I61" s="55">
        <f t="shared" si="30"/>
        <v>0</v>
      </c>
      <c r="J61" s="55">
        <f t="shared" si="30"/>
        <v>0</v>
      </c>
      <c r="K61" s="55">
        <f t="shared" si="30"/>
        <v>0</v>
      </c>
      <c r="L61" s="55">
        <f t="shared" si="30"/>
        <v>0</v>
      </c>
      <c r="M61" s="55">
        <f t="shared" si="30"/>
        <v>0</v>
      </c>
      <c r="N61" s="55">
        <f t="shared" si="30"/>
        <v>0</v>
      </c>
      <c r="O61" s="55">
        <f t="shared" si="30"/>
        <v>0</v>
      </c>
      <c r="P61" s="50"/>
      <c r="Q61" s="55">
        <f>SUM(E61:O61)</f>
        <v>0</v>
      </c>
      <c r="R61" s="45"/>
      <c r="S61" s="45"/>
      <c r="T61" s="45"/>
      <c r="U61" s="45"/>
      <c r="V61" s="45"/>
      <c r="W61" s="45"/>
      <c r="X61" s="45"/>
      <c r="Y61" s="45"/>
      <c r="Z61" s="45"/>
    </row>
    <row r="62" spans="2:26" x14ac:dyDescent="0.25">
      <c r="B62" s="40"/>
      <c r="C62" s="45"/>
      <c r="E62" s="45"/>
      <c r="F62" s="45"/>
      <c r="G62" s="45"/>
      <c r="H62" s="45"/>
      <c r="I62" s="45"/>
      <c r="J62" s="45"/>
      <c r="K62" s="45"/>
      <c r="L62" s="45"/>
      <c r="M62" s="45"/>
      <c r="N62" s="45"/>
      <c r="O62" s="45"/>
      <c r="P62" s="45"/>
      <c r="Q62" s="50"/>
      <c r="R62" s="45"/>
      <c r="S62" s="45"/>
      <c r="T62" s="45"/>
      <c r="U62" s="45"/>
      <c r="V62" s="45"/>
      <c r="W62" s="45"/>
      <c r="X62" s="45"/>
      <c r="Y62" s="45"/>
      <c r="Z62" s="45"/>
    </row>
    <row r="63" spans="2:26" x14ac:dyDescent="0.25">
      <c r="B63" s="52" t="s">
        <v>214</v>
      </c>
      <c r="C63" s="45"/>
      <c r="E63" s="61" t="s">
        <v>171</v>
      </c>
      <c r="F63" s="45"/>
      <c r="G63" s="45"/>
      <c r="H63" s="45"/>
      <c r="I63" s="45"/>
      <c r="J63" s="45"/>
      <c r="K63" s="45"/>
      <c r="L63" s="45"/>
      <c r="M63" s="45"/>
      <c r="N63" s="45"/>
      <c r="O63" s="45"/>
      <c r="P63" s="45"/>
      <c r="Q63" s="50"/>
      <c r="R63" s="45"/>
      <c r="S63" s="45"/>
      <c r="T63" s="45"/>
      <c r="U63" s="45"/>
      <c r="V63" s="45"/>
      <c r="W63" s="45"/>
      <c r="X63" s="45"/>
      <c r="Y63" s="45"/>
      <c r="Z63" s="45"/>
    </row>
    <row r="64" spans="2:26" x14ac:dyDescent="0.25">
      <c r="B64" s="40"/>
      <c r="C64" s="45"/>
      <c r="E64" s="45"/>
      <c r="F64" s="45"/>
      <c r="G64" s="45"/>
      <c r="H64" s="45"/>
      <c r="I64" s="45"/>
      <c r="J64" s="45"/>
      <c r="K64" s="45"/>
      <c r="L64" s="45"/>
      <c r="M64" s="45"/>
      <c r="N64" s="45"/>
      <c r="O64" s="45"/>
      <c r="P64" s="45"/>
      <c r="Q64" s="50"/>
      <c r="R64" s="45"/>
      <c r="S64" s="45"/>
      <c r="T64" s="45"/>
      <c r="U64" s="45"/>
      <c r="V64" s="45"/>
      <c r="W64" s="45"/>
      <c r="X64" s="45"/>
      <c r="Y64" s="45"/>
      <c r="Z64" s="45"/>
    </row>
    <row r="65" spans="2:26" x14ac:dyDescent="0.25">
      <c r="B65" s="56" t="s">
        <v>159</v>
      </c>
      <c r="C65" s="57"/>
      <c r="D65" s="102"/>
      <c r="E65" s="81">
        <f t="shared" ref="E65:O65" si="31">IFERROR(1/((1+$E$6+E10)^E9),"-")</f>
        <v>0.94339622641509424</v>
      </c>
      <c r="F65" s="81">
        <f t="shared" si="31"/>
        <v>0.88999644001423983</v>
      </c>
      <c r="G65" s="81">
        <f t="shared" si="31"/>
        <v>0.8396192830323016</v>
      </c>
      <c r="H65" s="81">
        <f t="shared" si="31"/>
        <v>0.79209366323802044</v>
      </c>
      <c r="I65" s="81">
        <f t="shared" si="31"/>
        <v>0.74725817286605689</v>
      </c>
      <c r="J65" s="81">
        <f t="shared" si="31"/>
        <v>0.70496054043967626</v>
      </c>
      <c r="K65" s="81">
        <f t="shared" si="31"/>
        <v>0.66505711362233599</v>
      </c>
      <c r="L65" s="81">
        <f t="shared" si="31"/>
        <v>0.62741237134182648</v>
      </c>
      <c r="M65" s="81">
        <f t="shared" si="31"/>
        <v>0.59189846353002495</v>
      </c>
      <c r="N65" s="81">
        <f t="shared" si="31"/>
        <v>0.55839477691511785</v>
      </c>
      <c r="O65" s="81" t="str">
        <f t="shared" si="31"/>
        <v>-</v>
      </c>
      <c r="P65" s="45"/>
      <c r="Q65" s="50"/>
      <c r="R65" s="45"/>
      <c r="S65" s="45"/>
      <c r="T65" s="45"/>
      <c r="U65" s="45"/>
      <c r="V65" s="45"/>
      <c r="W65" s="45"/>
      <c r="X65" s="45"/>
      <c r="Y65" s="45"/>
      <c r="Z65" s="45"/>
    </row>
    <row r="66" spans="2:26" x14ac:dyDescent="0.25">
      <c r="B66" s="56" t="s">
        <v>160</v>
      </c>
      <c r="C66" s="57"/>
      <c r="D66" s="102"/>
      <c r="E66" s="82">
        <f>IFERROR(E61*E65,"-")</f>
        <v>0</v>
      </c>
      <c r="F66" s="82">
        <f t="shared" ref="F66:O66" si="32">IFERROR(F61*F65,"-")</f>
        <v>0</v>
      </c>
      <c r="G66" s="82">
        <f t="shared" si="32"/>
        <v>0</v>
      </c>
      <c r="H66" s="82">
        <f t="shared" si="32"/>
        <v>0</v>
      </c>
      <c r="I66" s="82">
        <f t="shared" si="32"/>
        <v>0</v>
      </c>
      <c r="J66" s="82">
        <f t="shared" si="32"/>
        <v>0</v>
      </c>
      <c r="K66" s="82">
        <f t="shared" si="32"/>
        <v>0</v>
      </c>
      <c r="L66" s="82">
        <f t="shared" si="32"/>
        <v>0</v>
      </c>
      <c r="M66" s="82">
        <f t="shared" si="32"/>
        <v>0</v>
      </c>
      <c r="N66" s="82">
        <f t="shared" si="32"/>
        <v>0</v>
      </c>
      <c r="O66" s="82" t="str">
        <f t="shared" si="32"/>
        <v>-</v>
      </c>
      <c r="P66" s="50"/>
      <c r="Q66" s="55">
        <f>SUM(E66:O66)</f>
        <v>0</v>
      </c>
      <c r="R66" s="45"/>
      <c r="S66" s="45"/>
      <c r="T66" s="45"/>
      <c r="U66" s="45"/>
      <c r="V66" s="45"/>
      <c r="W66" s="45"/>
      <c r="X66" s="45"/>
      <c r="Y66" s="45"/>
      <c r="Z66" s="45"/>
    </row>
    <row r="67" spans="2:26" x14ac:dyDescent="0.25">
      <c r="B67" s="40"/>
      <c r="C67" s="45"/>
      <c r="E67" s="50"/>
      <c r="F67" s="50"/>
      <c r="G67" s="50"/>
      <c r="H67" s="50"/>
      <c r="I67" s="50"/>
      <c r="J67" s="50"/>
      <c r="K67" s="50"/>
      <c r="L67" s="50"/>
      <c r="M67" s="50"/>
      <c r="N67" s="50"/>
      <c r="O67" s="50"/>
      <c r="P67" s="50"/>
      <c r="Q67" s="50"/>
      <c r="R67" s="45"/>
      <c r="S67" s="45"/>
      <c r="T67" s="45"/>
      <c r="U67" s="45"/>
      <c r="V67" s="45"/>
      <c r="W67" s="45"/>
      <c r="X67" s="45"/>
      <c r="Y67" s="45"/>
      <c r="Z67" s="45"/>
    </row>
    <row r="68" spans="2:26" x14ac:dyDescent="0.25">
      <c r="B68" s="52" t="s">
        <v>216</v>
      </c>
      <c r="C68" s="45"/>
      <c r="E68" s="60">
        <f>SUM(E66:O66)</f>
        <v>0</v>
      </c>
      <c r="F68" s="50"/>
      <c r="G68" s="50"/>
      <c r="H68" s="50"/>
      <c r="I68" s="50"/>
      <c r="J68" s="50"/>
      <c r="K68" s="50"/>
      <c r="L68" s="50"/>
      <c r="M68" s="50"/>
      <c r="N68" s="50"/>
      <c r="O68" s="50"/>
      <c r="P68" s="50"/>
      <c r="Q68" s="50"/>
      <c r="R68" s="45"/>
      <c r="S68" s="45"/>
      <c r="T68" s="45"/>
      <c r="U68" s="45"/>
      <c r="V68" s="45"/>
      <c r="W68" s="45"/>
      <c r="X68" s="45"/>
      <c r="Y68" s="45"/>
      <c r="Z68" s="45"/>
    </row>
    <row r="69" spans="2:26" s="76" customFormat="1" ht="4.2" x14ac:dyDescent="0.15">
      <c r="B69" s="73"/>
      <c r="C69" s="74"/>
      <c r="D69" s="103"/>
      <c r="E69" s="77"/>
      <c r="F69" s="86"/>
      <c r="G69" s="86"/>
      <c r="H69" s="86"/>
      <c r="I69" s="86"/>
      <c r="J69" s="86"/>
      <c r="K69" s="86"/>
      <c r="L69" s="86"/>
      <c r="M69" s="86"/>
      <c r="N69" s="86"/>
      <c r="O69" s="86"/>
      <c r="P69" s="86"/>
      <c r="Q69" s="86"/>
      <c r="R69" s="74"/>
      <c r="S69" s="74"/>
      <c r="T69" s="74"/>
      <c r="U69" s="74"/>
      <c r="V69" s="74"/>
      <c r="W69" s="74"/>
      <c r="X69" s="74"/>
      <c r="Y69" s="74"/>
      <c r="Z69" s="74"/>
    </row>
    <row r="70" spans="2:26" x14ac:dyDescent="0.25">
      <c r="B70" s="78"/>
      <c r="C70" s="79"/>
      <c r="D70" s="105"/>
      <c r="E70" s="80"/>
      <c r="F70" s="171"/>
      <c r="G70" s="171"/>
      <c r="H70" s="171"/>
      <c r="I70" s="171"/>
      <c r="J70" s="171"/>
      <c r="K70" s="171"/>
      <c r="L70" s="171"/>
      <c r="M70" s="171"/>
      <c r="N70" s="171"/>
      <c r="O70" s="171"/>
      <c r="P70" s="50"/>
      <c r="Q70" s="50"/>
      <c r="R70" s="45"/>
      <c r="S70" s="45"/>
      <c r="T70" s="45"/>
      <c r="U70" s="45"/>
      <c r="V70" s="45"/>
      <c r="W70" s="45"/>
      <c r="X70" s="45"/>
      <c r="Y70" s="45"/>
      <c r="Z70" s="45"/>
    </row>
    <row r="71" spans="2:26" s="76" customFormat="1" ht="4.2" x14ac:dyDescent="0.15">
      <c r="B71" s="116"/>
      <c r="C71" s="74"/>
      <c r="D71" s="103"/>
      <c r="E71" s="117"/>
      <c r="F71" s="117"/>
      <c r="G71" s="117"/>
      <c r="H71" s="117"/>
      <c r="I71" s="117"/>
      <c r="J71" s="117"/>
      <c r="K71" s="117"/>
      <c r="L71" s="117"/>
      <c r="M71" s="117"/>
      <c r="N71" s="117"/>
      <c r="O71" s="117"/>
      <c r="P71" s="86"/>
      <c r="Q71" s="86"/>
      <c r="R71" s="74"/>
      <c r="S71" s="74"/>
      <c r="T71" s="74"/>
      <c r="U71" s="74"/>
      <c r="V71" s="74"/>
      <c r="W71" s="74"/>
      <c r="X71" s="74"/>
      <c r="Y71" s="74"/>
      <c r="Z71" s="74"/>
    </row>
    <row r="72" spans="2:26" x14ac:dyDescent="0.25">
      <c r="B72" s="47" t="s">
        <v>149</v>
      </c>
      <c r="C72" s="45"/>
      <c r="E72" s="92"/>
      <c r="F72" s="92"/>
      <c r="G72" s="92"/>
      <c r="H72" s="92"/>
      <c r="I72" s="92"/>
      <c r="J72" s="92"/>
      <c r="K72" s="92"/>
      <c r="L72" s="92"/>
      <c r="M72" s="92"/>
      <c r="N72" s="92"/>
      <c r="O72" s="92"/>
      <c r="P72" s="50"/>
      <c r="Q72" s="50"/>
      <c r="R72" s="45"/>
      <c r="S72" s="45"/>
      <c r="T72" s="45"/>
      <c r="U72" s="45"/>
      <c r="V72" s="45"/>
      <c r="W72" s="45"/>
      <c r="X72" s="45"/>
      <c r="Y72" s="45"/>
      <c r="Z72" s="45"/>
    </row>
    <row r="73" spans="2:26" x14ac:dyDescent="0.25">
      <c r="B73" s="62" t="s">
        <v>150</v>
      </c>
      <c r="C73" s="45"/>
      <c r="E73" s="55">
        <f>SUM(E74:E77)</f>
        <v>0</v>
      </c>
      <c r="F73" s="55">
        <f t="shared" ref="F73" si="33">SUM(F74:F77)</f>
        <v>0</v>
      </c>
      <c r="G73" s="55">
        <f t="shared" ref="G73" si="34">SUM(G74:G77)</f>
        <v>0</v>
      </c>
      <c r="H73" s="55">
        <f t="shared" ref="H73" si="35">SUM(H74:H77)</f>
        <v>0</v>
      </c>
      <c r="I73" s="55">
        <f t="shared" ref="I73" si="36">SUM(I74:I77)</f>
        <v>0</v>
      </c>
      <c r="J73" s="55">
        <f t="shared" ref="J73" si="37">SUM(J74:J77)</f>
        <v>0</v>
      </c>
      <c r="K73" s="55">
        <f t="shared" ref="K73" si="38">SUM(K74:K77)</f>
        <v>0</v>
      </c>
      <c r="L73" s="55">
        <f t="shared" ref="L73" si="39">SUM(L74:L77)</f>
        <v>0</v>
      </c>
      <c r="M73" s="55">
        <f t="shared" ref="M73" si="40">SUM(M74:M77)</f>
        <v>0</v>
      </c>
      <c r="N73" s="55">
        <f t="shared" ref="N73" si="41">SUM(N74:N77)</f>
        <v>0</v>
      </c>
      <c r="O73" s="55">
        <f t="shared" ref="O73" si="42">SUM(O74:O77)</f>
        <v>0</v>
      </c>
      <c r="P73" s="50"/>
      <c r="Q73" s="55">
        <f>SUM(E73:O73)</f>
        <v>0</v>
      </c>
      <c r="R73" s="45"/>
      <c r="S73" s="45"/>
      <c r="T73" s="45"/>
      <c r="U73" s="45"/>
      <c r="V73" s="45"/>
      <c r="W73" s="45"/>
      <c r="X73" s="45"/>
      <c r="Y73" s="45"/>
      <c r="Z73" s="45"/>
    </row>
    <row r="74" spans="2:26" x14ac:dyDescent="0.25">
      <c r="B74" s="83" t="s">
        <v>178</v>
      </c>
      <c r="C74" s="45"/>
      <c r="D74" s="49" t="s">
        <v>162</v>
      </c>
      <c r="E74" s="72"/>
      <c r="F74" s="72"/>
      <c r="G74" s="72"/>
      <c r="H74" s="72"/>
      <c r="I74" s="72"/>
      <c r="J74" s="72"/>
      <c r="K74" s="72"/>
      <c r="L74" s="72"/>
      <c r="M74" s="72"/>
      <c r="N74" s="72"/>
      <c r="O74" s="72"/>
      <c r="P74" s="50"/>
      <c r="Q74" s="55">
        <f>SUM(E74:O74)</f>
        <v>0</v>
      </c>
      <c r="R74" s="45"/>
      <c r="S74" s="45"/>
      <c r="T74" s="45"/>
      <c r="U74" s="45"/>
      <c r="V74" s="45"/>
      <c r="W74" s="45"/>
      <c r="X74" s="45"/>
      <c r="Y74" s="45"/>
      <c r="Z74" s="45"/>
    </row>
    <row r="75" spans="2:26" x14ac:dyDescent="0.25">
      <c r="B75" s="83" t="s">
        <v>179</v>
      </c>
      <c r="C75" s="45"/>
      <c r="D75" s="49" t="s">
        <v>162</v>
      </c>
      <c r="E75" s="72"/>
      <c r="F75" s="72"/>
      <c r="G75" s="72"/>
      <c r="H75" s="72"/>
      <c r="I75" s="72"/>
      <c r="J75" s="72"/>
      <c r="K75" s="72"/>
      <c r="L75" s="72"/>
      <c r="M75" s="72"/>
      <c r="N75" s="72"/>
      <c r="O75" s="72"/>
      <c r="P75" s="50"/>
      <c r="Q75" s="55">
        <f>SUM(E75:O75)</f>
        <v>0</v>
      </c>
      <c r="R75" s="45"/>
      <c r="S75" s="45"/>
      <c r="T75" s="45"/>
      <c r="U75" s="45"/>
      <c r="V75" s="45"/>
      <c r="W75" s="45"/>
      <c r="X75" s="45"/>
      <c r="Y75" s="45"/>
      <c r="Z75" s="45"/>
    </row>
    <row r="76" spans="2:26" x14ac:dyDescent="0.25">
      <c r="B76" s="83" t="s">
        <v>180</v>
      </c>
      <c r="C76" s="45"/>
      <c r="D76" s="49" t="s">
        <v>162</v>
      </c>
      <c r="E76" s="72"/>
      <c r="F76" s="72"/>
      <c r="G76" s="72"/>
      <c r="H76" s="72"/>
      <c r="I76" s="72"/>
      <c r="J76" s="72"/>
      <c r="K76" s="72"/>
      <c r="L76" s="72"/>
      <c r="M76" s="72"/>
      <c r="N76" s="72"/>
      <c r="O76" s="72"/>
      <c r="P76" s="50"/>
      <c r="Q76" s="55">
        <f>SUM(E76:O76)</f>
        <v>0</v>
      </c>
      <c r="R76" s="45"/>
      <c r="S76" s="45"/>
      <c r="T76" s="45"/>
      <c r="U76" s="45"/>
      <c r="V76" s="45"/>
      <c r="W76" s="45"/>
      <c r="X76" s="45"/>
      <c r="Y76" s="45"/>
      <c r="Z76" s="45"/>
    </row>
    <row r="77" spans="2:26" x14ac:dyDescent="0.25">
      <c r="B77" s="83" t="s">
        <v>111</v>
      </c>
      <c r="C77" s="45"/>
      <c r="D77" s="49" t="s">
        <v>162</v>
      </c>
      <c r="E77" s="72"/>
      <c r="F77" s="72"/>
      <c r="G77" s="72"/>
      <c r="H77" s="72"/>
      <c r="I77" s="72"/>
      <c r="J77" s="72"/>
      <c r="K77" s="72"/>
      <c r="L77" s="72"/>
      <c r="M77" s="72"/>
      <c r="N77" s="72"/>
      <c r="O77" s="72"/>
      <c r="P77" s="50"/>
      <c r="Q77" s="55">
        <f>SUM(E77:O77)</f>
        <v>0</v>
      </c>
      <c r="R77" s="45"/>
      <c r="S77" s="45"/>
      <c r="T77" s="45"/>
      <c r="U77" s="45"/>
      <c r="V77" s="45"/>
      <c r="W77" s="45"/>
      <c r="X77" s="45"/>
      <c r="Y77" s="45"/>
      <c r="Z77" s="45"/>
    </row>
    <row r="78" spans="2:26" x14ac:dyDescent="0.25">
      <c r="B78" s="47"/>
      <c r="C78" s="45"/>
      <c r="E78" s="50"/>
      <c r="F78" s="50"/>
      <c r="G78" s="50"/>
      <c r="H78" s="50"/>
      <c r="I78" s="50"/>
      <c r="J78" s="50"/>
      <c r="K78" s="50"/>
      <c r="L78" s="50"/>
      <c r="M78" s="50"/>
      <c r="N78" s="50"/>
      <c r="O78" s="50"/>
      <c r="P78" s="50"/>
      <c r="Q78" s="50"/>
      <c r="R78" s="45"/>
      <c r="S78" s="45"/>
      <c r="T78" s="45"/>
      <c r="U78" s="45"/>
      <c r="V78" s="45"/>
      <c r="W78" s="45"/>
      <c r="X78" s="45"/>
      <c r="Y78" s="45"/>
      <c r="Z78" s="45"/>
    </row>
    <row r="79" spans="2:26" x14ac:dyDescent="0.25">
      <c r="B79" s="62" t="s">
        <v>151</v>
      </c>
      <c r="C79" s="45"/>
      <c r="E79" s="55">
        <f t="shared" ref="E79:O79" si="43">E80+E85</f>
        <v>0</v>
      </c>
      <c r="F79" s="55">
        <f t="shared" si="43"/>
        <v>0</v>
      </c>
      <c r="G79" s="55">
        <f t="shared" si="43"/>
        <v>0</v>
      </c>
      <c r="H79" s="55">
        <f t="shared" si="43"/>
        <v>0</v>
      </c>
      <c r="I79" s="55">
        <f t="shared" si="43"/>
        <v>0</v>
      </c>
      <c r="J79" s="55">
        <f t="shared" si="43"/>
        <v>0</v>
      </c>
      <c r="K79" s="55">
        <f t="shared" si="43"/>
        <v>0</v>
      </c>
      <c r="L79" s="55">
        <f t="shared" si="43"/>
        <v>0</v>
      </c>
      <c r="M79" s="55">
        <f t="shared" si="43"/>
        <v>0</v>
      </c>
      <c r="N79" s="55">
        <f t="shared" si="43"/>
        <v>0</v>
      </c>
      <c r="O79" s="55">
        <f t="shared" si="43"/>
        <v>0</v>
      </c>
      <c r="P79" s="50"/>
      <c r="Q79" s="55">
        <f t="shared" ref="Q79:Q89" si="44">SUM(E79:O79)</f>
        <v>0</v>
      </c>
      <c r="R79" s="45"/>
      <c r="S79" s="45"/>
      <c r="T79" s="45"/>
      <c r="U79" s="45"/>
      <c r="V79" s="45"/>
      <c r="W79" s="45"/>
      <c r="X79" s="45"/>
      <c r="Y79" s="45"/>
      <c r="Z79" s="45"/>
    </row>
    <row r="80" spans="2:26" x14ac:dyDescent="0.25">
      <c r="B80" s="84" t="s">
        <v>152</v>
      </c>
      <c r="C80" s="45"/>
      <c r="E80" s="55">
        <f t="shared" ref="E80:O80" si="45">SUM(E81:E84)</f>
        <v>0</v>
      </c>
      <c r="F80" s="55">
        <f t="shared" si="45"/>
        <v>0</v>
      </c>
      <c r="G80" s="55">
        <f t="shared" si="45"/>
        <v>0</v>
      </c>
      <c r="H80" s="55">
        <f t="shared" si="45"/>
        <v>0</v>
      </c>
      <c r="I80" s="55">
        <f t="shared" si="45"/>
        <v>0</v>
      </c>
      <c r="J80" s="55">
        <f t="shared" si="45"/>
        <v>0</v>
      </c>
      <c r="K80" s="55">
        <f t="shared" si="45"/>
        <v>0</v>
      </c>
      <c r="L80" s="55">
        <f t="shared" si="45"/>
        <v>0</v>
      </c>
      <c r="M80" s="55">
        <f t="shared" si="45"/>
        <v>0</v>
      </c>
      <c r="N80" s="55">
        <f t="shared" si="45"/>
        <v>0</v>
      </c>
      <c r="O80" s="55">
        <f t="shared" si="45"/>
        <v>0</v>
      </c>
      <c r="P80" s="50"/>
      <c r="Q80" s="55">
        <f t="shared" si="44"/>
        <v>0</v>
      </c>
      <c r="R80" s="45"/>
      <c r="S80" s="45"/>
      <c r="T80" s="45"/>
      <c r="U80" s="45"/>
      <c r="V80" s="45"/>
      <c r="W80" s="45"/>
      <c r="X80" s="45"/>
      <c r="Y80" s="45"/>
      <c r="Z80" s="45"/>
    </row>
    <row r="81" spans="2:26" x14ac:dyDescent="0.25">
      <c r="B81" s="83" t="s">
        <v>181</v>
      </c>
      <c r="C81" s="45"/>
      <c r="D81" s="49" t="s">
        <v>162</v>
      </c>
      <c r="E81" s="72"/>
      <c r="F81" s="72"/>
      <c r="G81" s="72"/>
      <c r="H81" s="72"/>
      <c r="I81" s="72"/>
      <c r="J81" s="72"/>
      <c r="K81" s="72"/>
      <c r="L81" s="72"/>
      <c r="M81" s="72"/>
      <c r="N81" s="72"/>
      <c r="O81" s="72"/>
      <c r="P81" s="50"/>
      <c r="Q81" s="55">
        <f t="shared" si="44"/>
        <v>0</v>
      </c>
      <c r="R81" s="45"/>
      <c r="S81" s="45"/>
      <c r="T81" s="45"/>
      <c r="U81" s="45"/>
      <c r="V81" s="45"/>
      <c r="W81" s="45"/>
      <c r="X81" s="45"/>
      <c r="Y81" s="45"/>
      <c r="Z81" s="45"/>
    </row>
    <row r="82" spans="2:26" x14ac:dyDescent="0.25">
      <c r="B82" s="83" t="s">
        <v>182</v>
      </c>
      <c r="C82" s="45"/>
      <c r="D82" s="49" t="s">
        <v>162</v>
      </c>
      <c r="E82" s="72"/>
      <c r="F82" s="72"/>
      <c r="G82" s="72"/>
      <c r="H82" s="72"/>
      <c r="I82" s="72"/>
      <c r="J82" s="72"/>
      <c r="K82" s="72"/>
      <c r="L82" s="72"/>
      <c r="M82" s="72"/>
      <c r="N82" s="72"/>
      <c r="O82" s="72"/>
      <c r="P82" s="50"/>
      <c r="Q82" s="55">
        <f t="shared" si="44"/>
        <v>0</v>
      </c>
      <c r="R82" s="45"/>
      <c r="S82" s="45"/>
      <c r="T82" s="45"/>
      <c r="U82" s="45"/>
      <c r="V82" s="45"/>
      <c r="W82" s="45"/>
      <c r="X82" s="45"/>
      <c r="Y82" s="45"/>
      <c r="Z82" s="45"/>
    </row>
    <row r="83" spans="2:26" x14ac:dyDescent="0.25">
      <c r="B83" s="83" t="s">
        <v>183</v>
      </c>
      <c r="C83" s="45"/>
      <c r="D83" s="49" t="s">
        <v>162</v>
      </c>
      <c r="E83" s="72"/>
      <c r="F83" s="72"/>
      <c r="G83" s="72"/>
      <c r="H83" s="72"/>
      <c r="I83" s="72"/>
      <c r="J83" s="72"/>
      <c r="K83" s="72"/>
      <c r="L83" s="72"/>
      <c r="M83" s="72"/>
      <c r="N83" s="72"/>
      <c r="O83" s="72"/>
      <c r="P83" s="50"/>
      <c r="Q83" s="55">
        <f t="shared" si="44"/>
        <v>0</v>
      </c>
      <c r="R83" s="45"/>
      <c r="S83" s="45"/>
      <c r="T83" s="45"/>
      <c r="U83" s="45"/>
      <c r="V83" s="45"/>
      <c r="W83" s="45"/>
      <c r="X83" s="45"/>
      <c r="Y83" s="45"/>
      <c r="Z83" s="45"/>
    </row>
    <row r="84" spans="2:26" x14ac:dyDescent="0.25">
      <c r="B84" s="83" t="s">
        <v>111</v>
      </c>
      <c r="C84" s="45"/>
      <c r="D84" s="49" t="s">
        <v>162</v>
      </c>
      <c r="E84" s="72"/>
      <c r="F84" s="72"/>
      <c r="G84" s="72"/>
      <c r="H84" s="72"/>
      <c r="I84" s="72"/>
      <c r="J84" s="72"/>
      <c r="K84" s="72"/>
      <c r="L84" s="72"/>
      <c r="M84" s="72"/>
      <c r="N84" s="72"/>
      <c r="O84" s="72"/>
      <c r="P84" s="50"/>
      <c r="Q84" s="55">
        <f t="shared" si="44"/>
        <v>0</v>
      </c>
      <c r="R84" s="45"/>
      <c r="S84" s="45"/>
      <c r="T84" s="45"/>
      <c r="U84" s="45"/>
      <c r="V84" s="45"/>
      <c r="W84" s="45"/>
      <c r="X84" s="45"/>
      <c r="Y84" s="45"/>
      <c r="Z84" s="45"/>
    </row>
    <row r="85" spans="2:26" x14ac:dyDescent="0.25">
      <c r="B85" s="84" t="s">
        <v>153</v>
      </c>
      <c r="C85" s="45"/>
      <c r="E85" s="55">
        <f t="shared" ref="E85:O85" si="46">SUM(E86:E89)</f>
        <v>0</v>
      </c>
      <c r="F85" s="55">
        <f t="shared" si="46"/>
        <v>0</v>
      </c>
      <c r="G85" s="55">
        <f t="shared" si="46"/>
        <v>0</v>
      </c>
      <c r="H85" s="55">
        <f t="shared" si="46"/>
        <v>0</v>
      </c>
      <c r="I85" s="55">
        <f t="shared" si="46"/>
        <v>0</v>
      </c>
      <c r="J85" s="55">
        <f t="shared" si="46"/>
        <v>0</v>
      </c>
      <c r="K85" s="55">
        <f t="shared" si="46"/>
        <v>0</v>
      </c>
      <c r="L85" s="55">
        <f t="shared" si="46"/>
        <v>0</v>
      </c>
      <c r="M85" s="55">
        <f t="shared" si="46"/>
        <v>0</v>
      </c>
      <c r="N85" s="55">
        <f t="shared" si="46"/>
        <v>0</v>
      </c>
      <c r="O85" s="55">
        <f t="shared" si="46"/>
        <v>0</v>
      </c>
      <c r="P85" s="50"/>
      <c r="Q85" s="55">
        <f t="shared" si="44"/>
        <v>0</v>
      </c>
      <c r="R85" s="45"/>
      <c r="S85" s="45"/>
      <c r="T85" s="45"/>
      <c r="U85" s="45"/>
      <c r="V85" s="45"/>
      <c r="W85" s="45"/>
      <c r="X85" s="45"/>
      <c r="Y85" s="45"/>
      <c r="Z85" s="45"/>
    </row>
    <row r="86" spans="2:26" x14ac:dyDescent="0.25">
      <c r="B86" s="83" t="s">
        <v>184</v>
      </c>
      <c r="C86" s="45"/>
      <c r="D86" s="49" t="s">
        <v>162</v>
      </c>
      <c r="E86" s="72"/>
      <c r="F86" s="72"/>
      <c r="G86" s="72"/>
      <c r="H86" s="72"/>
      <c r="I86" s="72"/>
      <c r="J86" s="72"/>
      <c r="K86" s="72"/>
      <c r="L86" s="72"/>
      <c r="M86" s="72"/>
      <c r="N86" s="72"/>
      <c r="O86" s="72"/>
      <c r="P86" s="50"/>
      <c r="Q86" s="55">
        <f t="shared" si="44"/>
        <v>0</v>
      </c>
      <c r="R86" s="45"/>
      <c r="S86" s="45"/>
      <c r="T86" s="45"/>
      <c r="U86" s="45"/>
      <c r="V86" s="45"/>
      <c r="W86" s="45"/>
      <c r="X86" s="45"/>
      <c r="Y86" s="45"/>
      <c r="Z86" s="45"/>
    </row>
    <row r="87" spans="2:26" x14ac:dyDescent="0.25">
      <c r="B87" s="83" t="s">
        <v>185</v>
      </c>
      <c r="C87" s="45"/>
      <c r="D87" s="49" t="s">
        <v>162</v>
      </c>
      <c r="E87" s="72"/>
      <c r="F87" s="72"/>
      <c r="G87" s="72"/>
      <c r="H87" s="72"/>
      <c r="I87" s="72"/>
      <c r="J87" s="72"/>
      <c r="K87" s="72"/>
      <c r="L87" s="72"/>
      <c r="M87" s="72"/>
      <c r="N87" s="72"/>
      <c r="O87" s="72"/>
      <c r="P87" s="50"/>
      <c r="Q87" s="55">
        <f t="shared" si="44"/>
        <v>0</v>
      </c>
      <c r="R87" s="45"/>
      <c r="S87" s="45"/>
      <c r="T87" s="45"/>
      <c r="U87" s="45"/>
      <c r="V87" s="45"/>
      <c r="W87" s="45"/>
      <c r="X87" s="45"/>
      <c r="Y87" s="45"/>
      <c r="Z87" s="45"/>
    </row>
    <row r="88" spans="2:26" x14ac:dyDescent="0.25">
      <c r="B88" s="83" t="s">
        <v>186</v>
      </c>
      <c r="C88" s="45"/>
      <c r="D88" s="49" t="s">
        <v>162</v>
      </c>
      <c r="E88" s="72"/>
      <c r="F88" s="72"/>
      <c r="G88" s="72"/>
      <c r="H88" s="72"/>
      <c r="I88" s="72"/>
      <c r="J88" s="72"/>
      <c r="K88" s="72"/>
      <c r="L88" s="72"/>
      <c r="M88" s="72"/>
      <c r="N88" s="72"/>
      <c r="O88" s="72"/>
      <c r="P88" s="50"/>
      <c r="Q88" s="55">
        <f t="shared" si="44"/>
        <v>0</v>
      </c>
      <c r="R88" s="45"/>
      <c r="S88" s="45"/>
      <c r="T88" s="45"/>
      <c r="U88" s="45"/>
      <c r="V88" s="45"/>
      <c r="W88" s="45"/>
      <c r="X88" s="45"/>
      <c r="Y88" s="45"/>
      <c r="Z88" s="45"/>
    </row>
    <row r="89" spans="2:26" x14ac:dyDescent="0.25">
      <c r="B89" s="83" t="s">
        <v>111</v>
      </c>
      <c r="C89" s="45"/>
      <c r="D89" s="49" t="s">
        <v>162</v>
      </c>
      <c r="E89" s="72"/>
      <c r="F89" s="72"/>
      <c r="G89" s="72"/>
      <c r="H89" s="72"/>
      <c r="I89" s="72"/>
      <c r="J89" s="72"/>
      <c r="K89" s="72"/>
      <c r="L89" s="72"/>
      <c r="M89" s="72"/>
      <c r="N89" s="72"/>
      <c r="O89" s="72"/>
      <c r="P89" s="50"/>
      <c r="Q89" s="55">
        <f t="shared" si="44"/>
        <v>0</v>
      </c>
      <c r="R89" s="45"/>
      <c r="S89" s="45"/>
      <c r="T89" s="45"/>
      <c r="U89" s="45"/>
      <c r="V89" s="45"/>
      <c r="W89" s="45"/>
      <c r="X89" s="45"/>
      <c r="Y89" s="45"/>
      <c r="Z89" s="45"/>
    </row>
    <row r="90" spans="2:26" x14ac:dyDescent="0.25">
      <c r="B90" s="40"/>
      <c r="C90" s="45"/>
      <c r="E90" s="50"/>
      <c r="F90" s="50"/>
      <c r="G90" s="50"/>
      <c r="H90" s="50"/>
      <c r="I90" s="50"/>
      <c r="J90" s="50"/>
      <c r="K90" s="50"/>
      <c r="L90" s="50"/>
      <c r="M90" s="50"/>
      <c r="N90" s="50"/>
      <c r="O90" s="50"/>
      <c r="P90" s="50"/>
      <c r="Q90" s="50"/>
      <c r="R90" s="45"/>
      <c r="S90" s="45"/>
      <c r="T90" s="45"/>
      <c r="U90" s="45"/>
      <c r="V90" s="45"/>
      <c r="W90" s="45"/>
      <c r="X90" s="45"/>
      <c r="Y90" s="45"/>
      <c r="Z90" s="45"/>
    </row>
    <row r="91" spans="2:26" x14ac:dyDescent="0.25">
      <c r="B91" s="71" t="s">
        <v>215</v>
      </c>
      <c r="C91" s="45"/>
      <c r="D91" s="49" t="s">
        <v>162</v>
      </c>
      <c r="E91" s="93"/>
      <c r="F91" s="93"/>
      <c r="G91" s="93"/>
      <c r="H91" s="93"/>
      <c r="I91" s="93"/>
      <c r="J91" s="93"/>
      <c r="K91" s="93"/>
      <c r="L91" s="93"/>
      <c r="M91" s="93"/>
      <c r="N91" s="93"/>
      <c r="O91" s="93"/>
      <c r="P91" s="114"/>
      <c r="Q91" s="55">
        <f>SUM(E91:O91)</f>
        <v>0</v>
      </c>
      <c r="R91" s="45"/>
      <c r="S91" s="45"/>
      <c r="T91" s="45"/>
      <c r="U91" s="45"/>
      <c r="V91" s="45"/>
      <c r="W91" s="45"/>
      <c r="X91" s="45"/>
      <c r="Y91" s="45"/>
      <c r="Z91" s="45"/>
    </row>
    <row r="92" spans="2:26" x14ac:dyDescent="0.25">
      <c r="B92" s="94" t="s">
        <v>213</v>
      </c>
      <c r="C92" s="45"/>
      <c r="D92" s="49" t="s">
        <v>163</v>
      </c>
      <c r="E92" s="88">
        <f t="shared" ref="E92:O92" si="47">E56</f>
        <v>0</v>
      </c>
      <c r="F92" s="88">
        <f t="shared" si="47"/>
        <v>0</v>
      </c>
      <c r="G92" s="88">
        <f t="shared" si="47"/>
        <v>0</v>
      </c>
      <c r="H92" s="88">
        <f t="shared" si="47"/>
        <v>0</v>
      </c>
      <c r="I92" s="88">
        <f t="shared" si="47"/>
        <v>0</v>
      </c>
      <c r="J92" s="88">
        <f t="shared" si="47"/>
        <v>0</v>
      </c>
      <c r="K92" s="88">
        <f t="shared" si="47"/>
        <v>0</v>
      </c>
      <c r="L92" s="88">
        <f t="shared" si="47"/>
        <v>0</v>
      </c>
      <c r="M92" s="88">
        <f t="shared" si="47"/>
        <v>0</v>
      </c>
      <c r="N92" s="88">
        <f t="shared" si="47"/>
        <v>0</v>
      </c>
      <c r="O92" s="88">
        <f t="shared" si="47"/>
        <v>0</v>
      </c>
      <c r="P92" s="50"/>
      <c r="Q92" s="55">
        <f>SUM(E92:O92)</f>
        <v>0</v>
      </c>
      <c r="R92" s="45"/>
      <c r="S92" s="45"/>
      <c r="T92" s="45"/>
      <c r="U92" s="45"/>
      <c r="V92" s="45"/>
      <c r="W92" s="45"/>
      <c r="X92" s="45"/>
      <c r="Y92" s="45"/>
      <c r="Z92" s="45"/>
    </row>
    <row r="93" spans="2:26" x14ac:dyDescent="0.25">
      <c r="B93" s="91"/>
      <c r="C93" s="45"/>
      <c r="E93" s="92"/>
      <c r="F93" s="92"/>
      <c r="G93" s="92"/>
      <c r="H93" s="92"/>
      <c r="I93" s="92"/>
      <c r="J93" s="92"/>
      <c r="K93" s="92"/>
      <c r="L93" s="92"/>
      <c r="M93" s="92"/>
      <c r="N93" s="92"/>
      <c r="O93" s="92"/>
      <c r="P93" s="50"/>
      <c r="Q93" s="50"/>
      <c r="R93" s="45"/>
      <c r="S93" s="45"/>
      <c r="T93" s="45"/>
      <c r="U93" s="45"/>
      <c r="V93" s="45"/>
      <c r="W93" s="45"/>
      <c r="X93" s="45"/>
      <c r="Y93" s="45"/>
      <c r="Z93" s="45"/>
    </row>
    <row r="94" spans="2:26" x14ac:dyDescent="0.25">
      <c r="B94" s="107" t="s">
        <v>210</v>
      </c>
      <c r="D94" s="1"/>
      <c r="E94" s="152">
        <f t="shared" ref="E94:O94" si="48">E29*$E$33</f>
        <v>0</v>
      </c>
      <c r="F94" s="152">
        <f t="shared" si="48"/>
        <v>0</v>
      </c>
      <c r="G94" s="152">
        <f t="shared" si="48"/>
        <v>0</v>
      </c>
      <c r="H94" s="152">
        <f t="shared" si="48"/>
        <v>0</v>
      </c>
      <c r="I94" s="152">
        <f t="shared" si="48"/>
        <v>0</v>
      </c>
      <c r="J94" s="152">
        <f t="shared" si="48"/>
        <v>0</v>
      </c>
      <c r="K94" s="152">
        <f t="shared" si="48"/>
        <v>0</v>
      </c>
      <c r="L94" s="152">
        <f t="shared" si="48"/>
        <v>0</v>
      </c>
      <c r="M94" s="152">
        <f t="shared" si="48"/>
        <v>0</v>
      </c>
      <c r="N94" s="152">
        <f t="shared" si="48"/>
        <v>0</v>
      </c>
      <c r="O94" s="152">
        <f t="shared" si="48"/>
        <v>0</v>
      </c>
      <c r="P94" s="50"/>
      <c r="Q94" s="55">
        <f>SUM(E94:O94)</f>
        <v>0</v>
      </c>
      <c r="R94" s="45"/>
      <c r="S94" s="45"/>
      <c r="T94" s="45"/>
      <c r="U94" s="45"/>
      <c r="V94" s="45"/>
      <c r="W94" s="45"/>
      <c r="X94" s="45"/>
      <c r="Y94" s="45"/>
      <c r="Z94" s="45"/>
    </row>
    <row r="95" spans="2:26" x14ac:dyDescent="0.25">
      <c r="B95" s="91"/>
      <c r="C95" s="45"/>
      <c r="E95" s="92"/>
      <c r="F95" s="92"/>
      <c r="G95" s="92"/>
      <c r="H95" s="92"/>
      <c r="I95" s="92"/>
      <c r="J95" s="92"/>
      <c r="K95" s="92"/>
      <c r="L95" s="92"/>
      <c r="M95" s="92"/>
      <c r="N95" s="92"/>
      <c r="O95" s="92"/>
      <c r="P95" s="50"/>
      <c r="Q95" s="50"/>
      <c r="R95" s="45"/>
      <c r="S95" s="45"/>
      <c r="T95" s="45"/>
      <c r="U95" s="45"/>
      <c r="V95" s="45"/>
      <c r="W95" s="45"/>
      <c r="X95" s="45"/>
      <c r="Y95" s="45"/>
      <c r="Z95" s="45"/>
    </row>
    <row r="96" spans="2:26" x14ac:dyDescent="0.25">
      <c r="B96" s="62" t="s">
        <v>149</v>
      </c>
      <c r="C96" s="45"/>
      <c r="E96" s="88">
        <f t="shared" ref="E96:O96" si="49">E73+E79+E91+E92+E94</f>
        <v>0</v>
      </c>
      <c r="F96" s="88">
        <f t="shared" si="49"/>
        <v>0</v>
      </c>
      <c r="G96" s="88">
        <f t="shared" si="49"/>
        <v>0</v>
      </c>
      <c r="H96" s="88">
        <f t="shared" si="49"/>
        <v>0</v>
      </c>
      <c r="I96" s="88">
        <f t="shared" si="49"/>
        <v>0</v>
      </c>
      <c r="J96" s="88">
        <f t="shared" si="49"/>
        <v>0</v>
      </c>
      <c r="K96" s="88">
        <f t="shared" si="49"/>
        <v>0</v>
      </c>
      <c r="L96" s="88">
        <f t="shared" si="49"/>
        <v>0</v>
      </c>
      <c r="M96" s="88">
        <f t="shared" si="49"/>
        <v>0</v>
      </c>
      <c r="N96" s="88">
        <f t="shared" si="49"/>
        <v>0</v>
      </c>
      <c r="O96" s="88">
        <f t="shared" si="49"/>
        <v>0</v>
      </c>
      <c r="P96" s="50"/>
      <c r="Q96" s="55">
        <f>SUM(E96:O96)</f>
        <v>0</v>
      </c>
      <c r="R96" s="45"/>
      <c r="S96" s="45"/>
      <c r="T96" s="45"/>
      <c r="U96" s="45"/>
      <c r="V96" s="45"/>
      <c r="W96" s="45"/>
      <c r="X96" s="45"/>
      <c r="Y96" s="45"/>
      <c r="Z96" s="45"/>
    </row>
    <row r="97" spans="2:26" s="112" customFormat="1" x14ac:dyDescent="0.25">
      <c r="B97" s="109"/>
      <c r="C97" s="110"/>
      <c r="D97" s="111"/>
      <c r="E97" s="98"/>
      <c r="F97" s="98"/>
      <c r="G97" s="98"/>
      <c r="H97" s="98"/>
      <c r="I97" s="98"/>
      <c r="J97" s="98"/>
      <c r="K97" s="98"/>
      <c r="L97" s="98"/>
      <c r="M97" s="98"/>
      <c r="N97" s="98"/>
      <c r="O97" s="98"/>
      <c r="P97" s="110"/>
      <c r="Q97" s="95"/>
      <c r="R97" s="110"/>
      <c r="S97" s="110"/>
      <c r="T97" s="110"/>
      <c r="U97" s="110"/>
      <c r="V97" s="110"/>
      <c r="W97" s="110"/>
      <c r="X97" s="110"/>
      <c r="Y97" s="110"/>
      <c r="Z97" s="110"/>
    </row>
    <row r="98" spans="2:26" s="112" customFormat="1" x14ac:dyDescent="0.25">
      <c r="B98" s="52" t="s">
        <v>158</v>
      </c>
      <c r="C98" s="45"/>
      <c r="D98" s="49"/>
      <c r="E98" s="61" t="s">
        <v>171</v>
      </c>
      <c r="F98" s="45"/>
      <c r="G98" s="45"/>
      <c r="H98" s="45"/>
      <c r="I98" s="45"/>
      <c r="J98" s="45"/>
      <c r="K98" s="45"/>
      <c r="L98" s="45"/>
      <c r="M98" s="45"/>
      <c r="N98" s="45"/>
      <c r="O98" s="45"/>
      <c r="P98" s="45"/>
      <c r="Q98" s="50"/>
      <c r="R98" s="110"/>
      <c r="S98" s="110"/>
      <c r="T98" s="110"/>
      <c r="U98" s="110"/>
      <c r="V98" s="110"/>
      <c r="W98" s="110"/>
      <c r="X98" s="110"/>
      <c r="Y98" s="110"/>
      <c r="Z98" s="110"/>
    </row>
    <row r="99" spans="2:26" s="112" customFormat="1" x14ac:dyDescent="0.25">
      <c r="B99" s="40"/>
      <c r="C99" s="45"/>
      <c r="D99" s="49"/>
      <c r="E99" s="45"/>
      <c r="F99" s="45"/>
      <c r="G99" s="45"/>
      <c r="H99" s="45"/>
      <c r="I99" s="45"/>
      <c r="J99" s="45"/>
      <c r="K99" s="45"/>
      <c r="L99" s="45"/>
      <c r="M99" s="45"/>
      <c r="N99" s="45"/>
      <c r="O99" s="45"/>
      <c r="P99" s="45"/>
      <c r="Q99" s="50"/>
      <c r="R99" s="110"/>
      <c r="S99" s="110"/>
      <c r="T99" s="110"/>
      <c r="U99" s="110"/>
      <c r="V99" s="110"/>
      <c r="W99" s="110"/>
      <c r="X99" s="110"/>
      <c r="Y99" s="110"/>
      <c r="Z99" s="110"/>
    </row>
    <row r="100" spans="2:26" s="112" customFormat="1" x14ac:dyDescent="0.25">
      <c r="B100" s="56" t="s">
        <v>159</v>
      </c>
      <c r="C100" s="57"/>
      <c r="D100" s="102"/>
      <c r="E100" s="81">
        <f>E65</f>
        <v>0.94339622641509424</v>
      </c>
      <c r="F100" s="81">
        <f t="shared" ref="F100:O100" si="50">F65</f>
        <v>0.88999644001423983</v>
      </c>
      <c r="G100" s="81">
        <f t="shared" si="50"/>
        <v>0.8396192830323016</v>
      </c>
      <c r="H100" s="81">
        <f t="shared" si="50"/>
        <v>0.79209366323802044</v>
      </c>
      <c r="I100" s="81">
        <f t="shared" si="50"/>
        <v>0.74725817286605689</v>
      </c>
      <c r="J100" s="81">
        <f t="shared" si="50"/>
        <v>0.70496054043967626</v>
      </c>
      <c r="K100" s="81">
        <f t="shared" si="50"/>
        <v>0.66505711362233599</v>
      </c>
      <c r="L100" s="81">
        <f t="shared" si="50"/>
        <v>0.62741237134182648</v>
      </c>
      <c r="M100" s="81">
        <f t="shared" si="50"/>
        <v>0.59189846353002495</v>
      </c>
      <c r="N100" s="81">
        <f t="shared" si="50"/>
        <v>0.55839477691511785</v>
      </c>
      <c r="O100" s="81" t="str">
        <f t="shared" si="50"/>
        <v>-</v>
      </c>
      <c r="P100" s="45"/>
      <c r="Q100" s="50"/>
      <c r="R100" s="110"/>
      <c r="S100" s="110"/>
      <c r="T100" s="110"/>
      <c r="U100" s="110"/>
      <c r="V100" s="110"/>
      <c r="W100" s="110"/>
      <c r="X100" s="110"/>
      <c r="Y100" s="110"/>
      <c r="Z100" s="110"/>
    </row>
    <row r="101" spans="2:26" s="112" customFormat="1" x14ac:dyDescent="0.25">
      <c r="B101" s="56" t="s">
        <v>160</v>
      </c>
      <c r="C101" s="57"/>
      <c r="D101" s="102"/>
      <c r="E101" s="82">
        <f>IFERROR(E96*E100,"-")</f>
        <v>0</v>
      </c>
      <c r="F101" s="82">
        <f t="shared" ref="F101" si="51">IFERROR(F96*F100,"-")</f>
        <v>0</v>
      </c>
      <c r="G101" s="82">
        <f t="shared" ref="G101" si="52">IFERROR(G96*G100,"-")</f>
        <v>0</v>
      </c>
      <c r="H101" s="82">
        <f t="shared" ref="H101" si="53">IFERROR(H96*H100,"-")</f>
        <v>0</v>
      </c>
      <c r="I101" s="82">
        <f t="shared" ref="I101" si="54">IFERROR(I96*I100,"-")</f>
        <v>0</v>
      </c>
      <c r="J101" s="82">
        <f t="shared" ref="J101" si="55">IFERROR(J96*J100,"-")</f>
        <v>0</v>
      </c>
      <c r="K101" s="82">
        <f t="shared" ref="K101" si="56">IFERROR(K96*K100,"-")</f>
        <v>0</v>
      </c>
      <c r="L101" s="82">
        <f t="shared" ref="L101" si="57">IFERROR(L96*L100,"-")</f>
        <v>0</v>
      </c>
      <c r="M101" s="82">
        <f t="shared" ref="M101" si="58">IFERROR(M96*M100,"-")</f>
        <v>0</v>
      </c>
      <c r="N101" s="82">
        <f t="shared" ref="N101" si="59">IFERROR(N96*N100,"-")</f>
        <v>0</v>
      </c>
      <c r="O101" s="82" t="str">
        <f t="shared" ref="O101" si="60">IFERROR(O96*O100,"-")</f>
        <v>-</v>
      </c>
      <c r="P101" s="50"/>
      <c r="Q101" s="55">
        <f>SUM(E101:O101)</f>
        <v>0</v>
      </c>
      <c r="R101" s="110"/>
      <c r="S101" s="110"/>
      <c r="T101" s="110"/>
      <c r="U101" s="110"/>
      <c r="V101" s="110"/>
      <c r="W101" s="110"/>
      <c r="X101" s="110"/>
      <c r="Y101" s="110"/>
      <c r="Z101" s="110"/>
    </row>
    <row r="102" spans="2:26" s="112" customFormat="1" x14ac:dyDescent="0.25">
      <c r="B102" s="40"/>
      <c r="C102" s="45"/>
      <c r="D102" s="49"/>
      <c r="E102" s="50"/>
      <c r="F102" s="50"/>
      <c r="G102" s="50"/>
      <c r="H102" s="50"/>
      <c r="I102" s="50"/>
      <c r="J102" s="50"/>
      <c r="K102" s="50"/>
      <c r="L102" s="50"/>
      <c r="M102" s="50"/>
      <c r="N102" s="50"/>
      <c r="O102" s="50"/>
      <c r="P102" s="50"/>
      <c r="Q102" s="50"/>
      <c r="R102" s="110"/>
      <c r="S102" s="110"/>
      <c r="T102" s="110"/>
      <c r="U102" s="110"/>
      <c r="V102" s="110"/>
      <c r="W102" s="110"/>
      <c r="X102" s="110"/>
      <c r="Y102" s="110"/>
      <c r="Z102" s="110"/>
    </row>
    <row r="103" spans="2:26" s="112" customFormat="1" x14ac:dyDescent="0.25">
      <c r="B103" s="52" t="s">
        <v>164</v>
      </c>
      <c r="C103" s="45"/>
      <c r="D103" s="49"/>
      <c r="E103" s="60">
        <f>SUM(E101:O101)</f>
        <v>0</v>
      </c>
      <c r="F103" s="170" t="s">
        <v>217</v>
      </c>
      <c r="G103" s="50"/>
      <c r="H103" s="50"/>
      <c r="I103" s="50"/>
      <c r="J103" s="50"/>
      <c r="K103" s="50"/>
      <c r="L103" s="50"/>
      <c r="M103" s="50"/>
      <c r="N103" s="50"/>
      <c r="O103" s="50"/>
      <c r="P103" s="50"/>
      <c r="Q103" s="50"/>
      <c r="R103" s="110"/>
      <c r="S103" s="110"/>
      <c r="T103" s="110"/>
      <c r="U103" s="110"/>
      <c r="V103" s="110"/>
      <c r="W103" s="110"/>
      <c r="X103" s="110"/>
      <c r="Y103" s="110"/>
      <c r="Z103" s="110"/>
    </row>
    <row r="104" spans="2:26" s="112" customFormat="1" x14ac:dyDescent="0.25">
      <c r="B104" s="109"/>
      <c r="C104" s="110"/>
      <c r="D104" s="111"/>
      <c r="E104" s="98"/>
      <c r="F104" s="98"/>
      <c r="G104" s="98"/>
      <c r="H104" s="98"/>
      <c r="I104" s="98"/>
      <c r="J104" s="98"/>
      <c r="K104" s="98"/>
      <c r="L104" s="98"/>
      <c r="M104" s="98"/>
      <c r="N104" s="98"/>
      <c r="O104" s="98"/>
      <c r="P104" s="95"/>
      <c r="Q104" s="95"/>
      <c r="R104" s="110"/>
      <c r="S104" s="110"/>
      <c r="T104" s="110"/>
      <c r="U104" s="110"/>
      <c r="V104" s="110"/>
      <c r="W104" s="110"/>
      <c r="X104" s="110"/>
      <c r="Y104" s="110"/>
      <c r="Z104" s="110"/>
    </row>
    <row r="105" spans="2:26" x14ac:dyDescent="0.25">
      <c r="B105" s="62" t="s">
        <v>166</v>
      </c>
      <c r="C105" s="45"/>
      <c r="E105" s="55">
        <f>SUM(E106:E108)</f>
        <v>0</v>
      </c>
      <c r="F105" s="55">
        <f t="shared" ref="F105:O105" si="61">SUM(F106:F108)</f>
        <v>0</v>
      </c>
      <c r="G105" s="55">
        <f t="shared" si="61"/>
        <v>0</v>
      </c>
      <c r="H105" s="55">
        <f t="shared" si="61"/>
        <v>0</v>
      </c>
      <c r="I105" s="55">
        <f t="shared" si="61"/>
        <v>0</v>
      </c>
      <c r="J105" s="55">
        <f t="shared" si="61"/>
        <v>0</v>
      </c>
      <c r="K105" s="55">
        <f t="shared" si="61"/>
        <v>0</v>
      </c>
      <c r="L105" s="55">
        <f t="shared" si="61"/>
        <v>0</v>
      </c>
      <c r="M105" s="55">
        <f t="shared" si="61"/>
        <v>0</v>
      </c>
      <c r="N105" s="55">
        <f t="shared" si="61"/>
        <v>0</v>
      </c>
      <c r="O105" s="55">
        <f t="shared" si="61"/>
        <v>0</v>
      </c>
      <c r="P105" s="50"/>
      <c r="Q105" s="55">
        <f>SUM(E105:O105)</f>
        <v>0</v>
      </c>
      <c r="R105" s="45"/>
      <c r="S105" s="45"/>
      <c r="T105" s="45"/>
      <c r="U105" s="45"/>
      <c r="V105" s="45"/>
      <c r="W105" s="45"/>
      <c r="X105" s="45"/>
      <c r="Y105" s="45"/>
      <c r="Z105" s="45"/>
    </row>
    <row r="106" spans="2:26" x14ac:dyDescent="0.25">
      <c r="B106" s="56" t="s">
        <v>129</v>
      </c>
      <c r="C106" s="57"/>
      <c r="D106" s="102" t="s">
        <v>162</v>
      </c>
      <c r="E106" s="72"/>
      <c r="F106" s="72"/>
      <c r="G106" s="72"/>
      <c r="H106" s="72"/>
      <c r="I106" s="72"/>
      <c r="J106" s="72"/>
      <c r="K106" s="72"/>
      <c r="L106" s="72"/>
      <c r="M106" s="72"/>
      <c r="N106" s="72"/>
      <c r="O106" s="72"/>
      <c r="P106" s="50"/>
      <c r="Q106" s="55">
        <f>SUM(E106:O106)</f>
        <v>0</v>
      </c>
      <c r="R106" s="45"/>
      <c r="S106" s="45"/>
      <c r="T106" s="45"/>
      <c r="U106" s="45"/>
      <c r="V106" s="45"/>
      <c r="W106" s="45"/>
      <c r="X106" s="45"/>
      <c r="Y106" s="45"/>
      <c r="Z106" s="45"/>
    </row>
    <row r="107" spans="2:26" x14ac:dyDescent="0.25">
      <c r="B107" s="56" t="s">
        <v>130</v>
      </c>
      <c r="C107" s="57"/>
      <c r="D107" s="102" t="s">
        <v>162</v>
      </c>
      <c r="E107" s="72"/>
      <c r="F107" s="72"/>
      <c r="G107" s="72"/>
      <c r="H107" s="72"/>
      <c r="I107" s="72"/>
      <c r="J107" s="72"/>
      <c r="K107" s="72"/>
      <c r="L107" s="72"/>
      <c r="M107" s="72"/>
      <c r="N107" s="72"/>
      <c r="O107" s="72"/>
      <c r="P107" s="50"/>
      <c r="Q107" s="55">
        <f>SUM(E107:O107)</f>
        <v>0</v>
      </c>
      <c r="R107" s="45"/>
      <c r="S107" s="45"/>
      <c r="T107" s="45"/>
      <c r="U107" s="45"/>
      <c r="V107" s="45"/>
      <c r="W107" s="45"/>
      <c r="X107" s="45"/>
      <c r="Y107" s="45"/>
      <c r="Z107" s="45"/>
    </row>
    <row r="108" spans="2:26" x14ac:dyDescent="0.25">
      <c r="B108" s="56" t="s">
        <v>131</v>
      </c>
      <c r="C108" s="57"/>
      <c r="D108" s="102" t="s">
        <v>162</v>
      </c>
      <c r="E108" s="72"/>
      <c r="F108" s="72"/>
      <c r="G108" s="72"/>
      <c r="H108" s="72"/>
      <c r="I108" s="72"/>
      <c r="J108" s="72"/>
      <c r="K108" s="72"/>
      <c r="L108" s="72"/>
      <c r="M108" s="72"/>
      <c r="N108" s="72"/>
      <c r="O108" s="72"/>
      <c r="P108" s="50"/>
      <c r="Q108" s="55">
        <f>SUM(E108:O108)</f>
        <v>0</v>
      </c>
      <c r="R108" s="45"/>
      <c r="S108" s="45"/>
      <c r="T108" s="45"/>
      <c r="U108" s="45"/>
      <c r="V108" s="45"/>
      <c r="W108" s="45"/>
      <c r="X108" s="45"/>
      <c r="Y108" s="45"/>
      <c r="Z108" s="45"/>
    </row>
    <row r="109" spans="2:26" x14ac:dyDescent="0.25">
      <c r="B109" s="40"/>
      <c r="C109" s="45"/>
      <c r="E109" s="50"/>
      <c r="F109" s="50"/>
      <c r="G109" s="50"/>
      <c r="H109" s="50"/>
      <c r="I109" s="50"/>
      <c r="J109" s="50"/>
      <c r="K109" s="50"/>
      <c r="L109" s="50"/>
      <c r="M109" s="50"/>
      <c r="N109" s="50"/>
      <c r="O109" s="50"/>
      <c r="P109" s="50"/>
      <c r="Q109" s="50"/>
      <c r="R109" s="45"/>
      <c r="S109" s="45"/>
      <c r="T109" s="45"/>
      <c r="U109" s="45"/>
      <c r="V109" s="45"/>
      <c r="W109" s="45"/>
      <c r="X109" s="45"/>
      <c r="Y109" s="45"/>
      <c r="Z109" s="45"/>
    </row>
    <row r="110" spans="2:26" x14ac:dyDescent="0.25">
      <c r="B110" s="99" t="s">
        <v>167</v>
      </c>
      <c r="C110" s="45"/>
      <c r="E110" s="82">
        <f>IFERROR(E105*E100,"-")</f>
        <v>0</v>
      </c>
      <c r="F110" s="82">
        <f t="shared" ref="F110:O110" si="62">IFERROR(F105*F100,"-")</f>
        <v>0</v>
      </c>
      <c r="G110" s="82">
        <f t="shared" si="62"/>
        <v>0</v>
      </c>
      <c r="H110" s="82">
        <f t="shared" si="62"/>
        <v>0</v>
      </c>
      <c r="I110" s="82">
        <f t="shared" si="62"/>
        <v>0</v>
      </c>
      <c r="J110" s="82">
        <f t="shared" si="62"/>
        <v>0</v>
      </c>
      <c r="K110" s="82">
        <f t="shared" si="62"/>
        <v>0</v>
      </c>
      <c r="L110" s="82">
        <f t="shared" si="62"/>
        <v>0</v>
      </c>
      <c r="M110" s="82">
        <f t="shared" si="62"/>
        <v>0</v>
      </c>
      <c r="N110" s="82">
        <f t="shared" si="62"/>
        <v>0</v>
      </c>
      <c r="O110" s="82" t="str">
        <f t="shared" si="62"/>
        <v>-</v>
      </c>
      <c r="P110" s="50"/>
      <c r="Q110" s="55">
        <f t="shared" ref="Q110:Q115" si="63">SUM(E110:O110)</f>
        <v>0</v>
      </c>
      <c r="R110" s="45"/>
      <c r="S110" s="45"/>
      <c r="T110" s="45"/>
      <c r="U110" s="45"/>
      <c r="V110" s="45"/>
      <c r="W110" s="45"/>
      <c r="X110" s="45"/>
      <c r="Y110" s="45"/>
      <c r="Z110" s="45"/>
    </row>
    <row r="111" spans="2:26" x14ac:dyDescent="0.25">
      <c r="B111" s="40"/>
      <c r="C111" s="45"/>
      <c r="E111" s="50"/>
      <c r="F111" s="50"/>
      <c r="G111" s="50"/>
      <c r="H111" s="50"/>
      <c r="I111" s="50"/>
      <c r="J111" s="50"/>
      <c r="K111" s="50"/>
      <c r="L111" s="50"/>
      <c r="M111" s="50"/>
      <c r="N111" s="50"/>
      <c r="O111" s="50"/>
      <c r="P111" s="50"/>
      <c r="Q111" s="50"/>
      <c r="R111" s="45"/>
      <c r="S111" s="45"/>
      <c r="T111" s="45"/>
      <c r="U111" s="45"/>
      <c r="V111" s="45"/>
      <c r="W111" s="45"/>
      <c r="X111" s="45"/>
      <c r="Y111" s="45"/>
      <c r="Z111" s="45"/>
    </row>
    <row r="112" spans="2:26" x14ac:dyDescent="0.25">
      <c r="B112" s="52" t="s">
        <v>168</v>
      </c>
      <c r="C112" s="45"/>
      <c r="E112" s="60">
        <f>SUM(E110:O110)</f>
        <v>0</v>
      </c>
      <c r="F112" s="170" t="s">
        <v>217</v>
      </c>
      <c r="G112" s="50"/>
      <c r="H112" s="50"/>
      <c r="I112" s="50"/>
      <c r="J112" s="50"/>
      <c r="K112" s="50"/>
      <c r="L112" s="50"/>
      <c r="M112" s="50"/>
      <c r="N112" s="50"/>
      <c r="O112" s="50"/>
      <c r="P112" s="50"/>
      <c r="Q112" s="50"/>
      <c r="R112" s="45"/>
      <c r="S112" s="45"/>
      <c r="T112" s="45"/>
      <c r="U112" s="45"/>
      <c r="V112" s="45"/>
      <c r="W112" s="45"/>
      <c r="X112" s="45"/>
      <c r="Y112" s="45"/>
      <c r="Z112" s="45"/>
    </row>
    <row r="113" spans="2:26" x14ac:dyDescent="0.25">
      <c r="B113" s="40"/>
      <c r="C113" s="45"/>
      <c r="E113" s="50"/>
      <c r="F113" s="50"/>
      <c r="G113" s="50"/>
      <c r="H113" s="50"/>
      <c r="I113" s="50"/>
      <c r="J113" s="50"/>
      <c r="K113" s="50"/>
      <c r="L113" s="50"/>
      <c r="M113" s="50"/>
      <c r="N113" s="50"/>
      <c r="O113" s="50"/>
      <c r="P113" s="50"/>
      <c r="Q113" s="50"/>
      <c r="R113" s="45"/>
      <c r="S113" s="45"/>
      <c r="T113" s="45"/>
      <c r="U113" s="45"/>
      <c r="V113" s="45"/>
      <c r="W113" s="45"/>
      <c r="X113" s="45"/>
      <c r="Y113" s="45"/>
      <c r="Z113" s="45"/>
    </row>
    <row r="114" spans="2:26" x14ac:dyDescent="0.25">
      <c r="B114" s="62" t="s">
        <v>165</v>
      </c>
      <c r="C114" s="45"/>
      <c r="E114" s="55">
        <f>E96+E105</f>
        <v>0</v>
      </c>
      <c r="F114" s="55">
        <f t="shared" ref="F114:O114" si="64">F96+F105</f>
        <v>0</v>
      </c>
      <c r="G114" s="55">
        <f t="shared" si="64"/>
        <v>0</v>
      </c>
      <c r="H114" s="55">
        <f t="shared" si="64"/>
        <v>0</v>
      </c>
      <c r="I114" s="55">
        <f t="shared" si="64"/>
        <v>0</v>
      </c>
      <c r="J114" s="55">
        <f t="shared" si="64"/>
        <v>0</v>
      </c>
      <c r="K114" s="55">
        <f t="shared" si="64"/>
        <v>0</v>
      </c>
      <c r="L114" s="55">
        <f t="shared" si="64"/>
        <v>0</v>
      </c>
      <c r="M114" s="55">
        <f t="shared" si="64"/>
        <v>0</v>
      </c>
      <c r="N114" s="55">
        <f t="shared" si="64"/>
        <v>0</v>
      </c>
      <c r="O114" s="55">
        <f t="shared" si="64"/>
        <v>0</v>
      </c>
      <c r="P114" s="50"/>
      <c r="Q114" s="55">
        <f t="shared" si="63"/>
        <v>0</v>
      </c>
      <c r="R114" s="45"/>
      <c r="S114" s="45"/>
      <c r="T114" s="45"/>
      <c r="U114" s="45"/>
      <c r="V114" s="45"/>
      <c r="W114" s="45"/>
      <c r="X114" s="45"/>
      <c r="Y114" s="45"/>
      <c r="Z114" s="45"/>
    </row>
    <row r="115" spans="2:26" x14ac:dyDescent="0.25">
      <c r="B115" s="56" t="s">
        <v>172</v>
      </c>
      <c r="C115" s="45"/>
      <c r="E115" s="82">
        <f>IFERROR(E114*E100,"-")</f>
        <v>0</v>
      </c>
      <c r="F115" s="82">
        <f t="shared" ref="F115:O115" si="65">IFERROR(F114*F100,"-")</f>
        <v>0</v>
      </c>
      <c r="G115" s="82">
        <f t="shared" si="65"/>
        <v>0</v>
      </c>
      <c r="H115" s="82">
        <f t="shared" si="65"/>
        <v>0</v>
      </c>
      <c r="I115" s="82">
        <f t="shared" si="65"/>
        <v>0</v>
      </c>
      <c r="J115" s="82">
        <f t="shared" si="65"/>
        <v>0</v>
      </c>
      <c r="K115" s="82">
        <f t="shared" si="65"/>
        <v>0</v>
      </c>
      <c r="L115" s="82">
        <f t="shared" si="65"/>
        <v>0</v>
      </c>
      <c r="M115" s="82">
        <f t="shared" si="65"/>
        <v>0</v>
      </c>
      <c r="N115" s="82">
        <f t="shared" si="65"/>
        <v>0</v>
      </c>
      <c r="O115" s="82" t="str">
        <f t="shared" si="65"/>
        <v>-</v>
      </c>
      <c r="P115" s="50"/>
      <c r="Q115" s="55">
        <f t="shared" si="63"/>
        <v>0</v>
      </c>
      <c r="R115" s="45"/>
      <c r="S115" s="45"/>
      <c r="T115" s="45"/>
      <c r="U115" s="45"/>
      <c r="V115" s="45"/>
      <c r="W115" s="45"/>
      <c r="X115" s="45"/>
      <c r="Y115" s="45"/>
      <c r="Z115" s="45"/>
    </row>
    <row r="116" spans="2:26" x14ac:dyDescent="0.25">
      <c r="C116" s="45"/>
      <c r="E116" s="50"/>
      <c r="F116" s="50"/>
      <c r="G116" s="50"/>
      <c r="H116" s="50"/>
      <c r="I116" s="50"/>
      <c r="J116" s="50"/>
      <c r="K116" s="50"/>
      <c r="L116" s="50"/>
      <c r="M116" s="50"/>
      <c r="N116" s="50"/>
      <c r="O116" s="50"/>
      <c r="P116" s="50"/>
      <c r="Q116" s="50"/>
      <c r="R116" s="45"/>
      <c r="S116" s="45"/>
      <c r="T116" s="45"/>
      <c r="U116" s="45"/>
      <c r="V116" s="45"/>
      <c r="W116" s="45"/>
      <c r="X116" s="45"/>
      <c r="Y116" s="45"/>
      <c r="Z116" s="45"/>
    </row>
    <row r="117" spans="2:26" x14ac:dyDescent="0.25">
      <c r="B117" s="59" t="s">
        <v>140</v>
      </c>
      <c r="C117" s="45"/>
      <c r="E117" s="60">
        <f>SUM(E115:O115)</f>
        <v>0</v>
      </c>
      <c r="F117" s="170" t="s">
        <v>217</v>
      </c>
      <c r="G117" s="50"/>
      <c r="H117" s="50"/>
      <c r="I117" s="50"/>
      <c r="J117" s="50"/>
      <c r="K117" s="50"/>
      <c r="L117" s="50"/>
      <c r="M117" s="50"/>
      <c r="N117" s="50"/>
      <c r="O117" s="50"/>
      <c r="P117" s="50"/>
      <c r="Q117" s="50"/>
      <c r="R117" s="45"/>
      <c r="S117" s="45"/>
      <c r="T117" s="45"/>
      <c r="U117" s="45"/>
      <c r="V117" s="45"/>
      <c r="W117" s="45"/>
      <c r="X117" s="45"/>
      <c r="Y117" s="45"/>
      <c r="Z117" s="45"/>
    </row>
    <row r="118" spans="2:26" x14ac:dyDescent="0.25">
      <c r="C118" s="45"/>
      <c r="E118" s="50"/>
      <c r="F118" s="50"/>
      <c r="G118" s="50"/>
      <c r="H118" s="50"/>
      <c r="I118" s="50"/>
      <c r="J118" s="50"/>
      <c r="K118" s="50"/>
      <c r="L118" s="50"/>
      <c r="M118" s="50"/>
      <c r="N118" s="50"/>
      <c r="O118" s="50"/>
      <c r="P118" s="50"/>
      <c r="Q118" s="50"/>
      <c r="R118" s="45"/>
      <c r="S118" s="45"/>
      <c r="T118" s="45"/>
      <c r="U118" s="45"/>
      <c r="V118" s="45"/>
      <c r="W118" s="45"/>
      <c r="X118" s="45"/>
      <c r="Y118" s="45"/>
      <c r="Z118" s="45"/>
    </row>
    <row r="119" spans="2:26" x14ac:dyDescent="0.25">
      <c r="B119" s="121" t="s">
        <v>146</v>
      </c>
      <c r="C119" s="45"/>
      <c r="D119" s="45"/>
      <c r="E119" s="89"/>
      <c r="F119" s="89"/>
      <c r="G119" s="89"/>
      <c r="H119" s="89"/>
      <c r="I119" s="89"/>
      <c r="J119" s="89"/>
      <c r="K119" s="89"/>
      <c r="L119" s="89"/>
      <c r="M119" s="89"/>
      <c r="N119" s="89"/>
      <c r="O119" s="89"/>
      <c r="P119" s="50"/>
      <c r="Q119" s="55">
        <f>SUM(E119:O119)</f>
        <v>0</v>
      </c>
      <c r="R119" s="45"/>
      <c r="S119" s="45"/>
      <c r="T119" s="45"/>
      <c r="U119" s="45"/>
      <c r="V119" s="45"/>
      <c r="W119" s="45"/>
      <c r="X119" s="45"/>
      <c r="Y119" s="45"/>
      <c r="Z119" s="45"/>
    </row>
    <row r="120" spans="2:26" x14ac:dyDescent="0.25">
      <c r="C120" s="45"/>
      <c r="E120" s="45"/>
      <c r="F120" s="45"/>
      <c r="G120" s="45"/>
      <c r="H120" s="45"/>
      <c r="I120" s="45"/>
      <c r="J120" s="45"/>
      <c r="K120" s="45"/>
      <c r="L120" s="45"/>
      <c r="M120" s="45"/>
      <c r="N120" s="45"/>
      <c r="O120" s="45"/>
      <c r="P120" s="45"/>
      <c r="Q120" s="45"/>
      <c r="R120" s="45"/>
      <c r="S120" s="45"/>
      <c r="T120" s="45"/>
      <c r="U120" s="45"/>
      <c r="V120" s="45"/>
      <c r="W120" s="45"/>
      <c r="X120" s="45"/>
      <c r="Y120" s="45"/>
      <c r="Z120" s="45"/>
    </row>
    <row r="121" spans="2:26" x14ac:dyDescent="0.25"/>
  </sheetData>
  <mergeCells count="1">
    <mergeCell ref="E2:G2"/>
  </mergeCells>
  <conditionalFormatting sqref="E2:G2">
    <cfRule type="cellIs" dxfId="6" priority="3" operator="equal">
      <formula>"NEAIZPILDĪT"</formula>
    </cfRule>
  </conditionalFormatting>
  <conditionalFormatting sqref="B5:Q7 B11:Q119 B8:D10 O8:Q10">
    <cfRule type="expression" dxfId="5" priority="2">
      <formula>$E$2="NEAIZPILDĪT"</formula>
    </cfRule>
  </conditionalFormatting>
  <conditionalFormatting sqref="E8:N10">
    <cfRule type="expression" dxfId="4" priority="1">
      <formula>$E$2="NEAIZPILDĪT"</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O171"/>
  <sheetViews>
    <sheetView topLeftCell="A7" zoomScaleNormal="100" zoomScaleSheetLayoutView="100" workbookViewId="0">
      <selection activeCell="J43" sqref="J43"/>
    </sheetView>
  </sheetViews>
  <sheetFormatPr defaultColWidth="0" defaultRowHeight="12" zeroHeight="1" outlineLevelRow="1" outlineLevelCol="1" x14ac:dyDescent="0.25"/>
  <cols>
    <col min="1" max="1" width="5" style="143" customWidth="1"/>
    <col min="2" max="2" width="20" style="143" bestFit="1" customWidth="1"/>
    <col min="3" max="3" width="8.6640625" style="143" customWidth="1"/>
    <col min="4" max="4" width="16.33203125" style="143" customWidth="1"/>
    <col min="5" max="5" width="14.88671875" style="143" customWidth="1"/>
    <col min="6" max="6" width="10.33203125" style="143" customWidth="1"/>
    <col min="7" max="7" width="11.6640625" style="143" customWidth="1"/>
    <col min="8" max="8" width="8.88671875" style="143" customWidth="1"/>
    <col min="9" max="9" width="11" style="143" customWidth="1"/>
    <col min="10" max="10" width="12.44140625" style="143" customWidth="1"/>
    <col min="11" max="11" width="13.6640625" style="143" customWidth="1"/>
    <col min="12" max="12" width="15.33203125" style="143" customWidth="1"/>
    <col min="13" max="13" width="5.6640625" style="143" customWidth="1"/>
    <col min="14" max="14" width="8.88671875" style="143" hidden="1" customWidth="1" outlineLevel="1"/>
    <col min="15" max="15" width="3.33203125" style="143" hidden="1" customWidth="1" collapsed="1"/>
    <col min="16" max="16384" width="8.88671875" style="143" hidden="1"/>
  </cols>
  <sheetData>
    <row r="1" spans="1:14" x14ac:dyDescent="0.25">
      <c r="A1" s="1"/>
      <c r="B1" s="1"/>
      <c r="C1" s="1"/>
      <c r="D1" s="1"/>
      <c r="E1" s="1"/>
      <c r="F1" s="1"/>
      <c r="G1" s="1"/>
      <c r="H1" s="1"/>
      <c r="I1" s="1"/>
      <c r="J1" s="1"/>
      <c r="K1" s="1"/>
      <c r="L1" s="1"/>
      <c r="M1" s="1"/>
    </row>
    <row r="2" spans="1:14" ht="14.4" x14ac:dyDescent="0.3">
      <c r="A2" s="1"/>
      <c r="B2" s="278" t="s">
        <v>103</v>
      </c>
      <c r="C2" s="278"/>
      <c r="D2" s="278"/>
      <c r="E2" s="278"/>
      <c r="F2" s="278"/>
      <c r="G2" s="278"/>
      <c r="H2" s="278"/>
      <c r="I2" s="278"/>
      <c r="J2" s="278"/>
      <c r="K2" s="278"/>
      <c r="L2" s="278"/>
      <c r="M2" s="1"/>
    </row>
    <row r="3" spans="1:14" x14ac:dyDescent="0.25">
      <c r="A3" s="1"/>
      <c r="B3" s="1"/>
      <c r="C3" s="1"/>
      <c r="D3" s="1"/>
      <c r="E3" s="1"/>
      <c r="F3" s="1"/>
      <c r="G3" s="1"/>
      <c r="H3" s="1"/>
      <c r="I3" s="1"/>
      <c r="J3" s="1"/>
      <c r="K3" s="1"/>
      <c r="L3" s="1"/>
      <c r="M3" s="1"/>
    </row>
    <row r="4" spans="1:14" ht="13.2" x14ac:dyDescent="0.25">
      <c r="A4" s="1"/>
      <c r="B4" s="118" t="s">
        <v>104</v>
      </c>
      <c r="C4" s="272" t="s">
        <v>236</v>
      </c>
      <c r="D4" s="272"/>
      <c r="E4" s="272"/>
      <c r="F4" s="272"/>
      <c r="G4" s="272"/>
      <c r="H4" s="272"/>
      <c r="I4" s="272"/>
      <c r="J4" s="272"/>
      <c r="K4" s="272"/>
      <c r="L4" s="272"/>
      <c r="M4" s="1"/>
      <c r="N4" s="144" t="s">
        <v>122</v>
      </c>
    </row>
    <row r="5" spans="1:14" ht="34.200000000000003" outlineLevel="1" x14ac:dyDescent="0.25">
      <c r="A5" s="1"/>
      <c r="B5" s="9" t="s">
        <v>105</v>
      </c>
      <c r="C5" s="9" t="s">
        <v>113</v>
      </c>
      <c r="D5" s="9" t="s">
        <v>132</v>
      </c>
      <c r="E5" s="9" t="s">
        <v>114</v>
      </c>
      <c r="F5" s="9" t="s">
        <v>115</v>
      </c>
      <c r="G5" s="9" t="s">
        <v>116</v>
      </c>
      <c r="H5" s="9" t="s">
        <v>117</v>
      </c>
      <c r="I5" s="9" t="s">
        <v>119</v>
      </c>
      <c r="J5" s="9" t="s">
        <v>118</v>
      </c>
      <c r="K5" s="9" t="s">
        <v>120</v>
      </c>
      <c r="L5" s="9" t="s">
        <v>121</v>
      </c>
      <c r="M5" s="136"/>
      <c r="N5" s="144" t="s">
        <v>123</v>
      </c>
    </row>
    <row r="6" spans="1:14" outlineLevel="1" x14ac:dyDescent="0.25">
      <c r="A6" s="1"/>
      <c r="B6" s="35" t="s">
        <v>106</v>
      </c>
      <c r="C6" s="36"/>
      <c r="D6" s="36"/>
      <c r="E6" s="36"/>
      <c r="F6" s="36"/>
      <c r="G6" s="36"/>
      <c r="H6" s="36"/>
      <c r="I6" s="36"/>
      <c r="J6" s="36"/>
      <c r="K6" s="36"/>
      <c r="L6" s="37"/>
      <c r="M6" s="1"/>
      <c r="N6" s="144" t="s">
        <v>124</v>
      </c>
    </row>
    <row r="7" spans="1:14" ht="36" outlineLevel="1" x14ac:dyDescent="0.25">
      <c r="A7" s="1"/>
      <c r="B7" s="34" t="s">
        <v>240</v>
      </c>
      <c r="C7" s="123" t="s">
        <v>122</v>
      </c>
      <c r="D7" s="34" t="s">
        <v>150</v>
      </c>
      <c r="E7" s="125">
        <f>NPV_Bāze_I!Q13</f>
        <v>-901250</v>
      </c>
      <c r="F7" s="126">
        <v>0.2</v>
      </c>
      <c r="G7" s="126">
        <v>0.25</v>
      </c>
      <c r="H7" s="127">
        <f>F7*G7</f>
        <v>0.05</v>
      </c>
      <c r="I7" s="126">
        <v>0</v>
      </c>
      <c r="J7" s="127">
        <f>1-I7</f>
        <v>1</v>
      </c>
      <c r="K7" s="55">
        <f>E7*H7*I7</f>
        <v>0</v>
      </c>
      <c r="L7" s="55">
        <f>E7*H7*J7</f>
        <v>-45062.5</v>
      </c>
      <c r="M7" s="1"/>
    </row>
    <row r="8" spans="1:14" ht="24" outlineLevel="1" x14ac:dyDescent="0.25">
      <c r="A8" s="1"/>
      <c r="B8" s="34" t="s">
        <v>243</v>
      </c>
      <c r="C8" s="123" t="s">
        <v>122</v>
      </c>
      <c r="D8" s="34" t="s">
        <v>295</v>
      </c>
      <c r="E8" s="125">
        <f>NPV_Bāze_I!Q14</f>
        <v>-701250</v>
      </c>
      <c r="F8" s="126">
        <v>0.2</v>
      </c>
      <c r="G8" s="126">
        <v>0.2</v>
      </c>
      <c r="H8" s="127">
        <f t="shared" ref="H8:H11" si="0">F8*G8</f>
        <v>4.0000000000000008E-2</v>
      </c>
      <c r="I8" s="126">
        <v>0</v>
      </c>
      <c r="J8" s="127">
        <f t="shared" ref="J8:J11" si="1">1-I8</f>
        <v>1</v>
      </c>
      <c r="K8" s="55">
        <f t="shared" ref="K8:K11" si="2">E8*H8*I8</f>
        <v>0</v>
      </c>
      <c r="L8" s="55">
        <f t="shared" ref="L8:L11" si="3">E8*H8*J8</f>
        <v>-28050.000000000004</v>
      </c>
      <c r="M8" s="1"/>
    </row>
    <row r="9" spans="1:14" ht="36" hidden="1" outlineLevel="1" x14ac:dyDescent="0.25">
      <c r="A9" s="1"/>
      <c r="B9" s="34" t="s">
        <v>251</v>
      </c>
      <c r="C9" s="123"/>
      <c r="D9" s="34"/>
      <c r="E9" s="125"/>
      <c r="F9" s="126"/>
      <c r="G9" s="126"/>
      <c r="H9" s="127">
        <f t="shared" si="0"/>
        <v>0</v>
      </c>
      <c r="I9" s="126"/>
      <c r="J9" s="127">
        <f t="shared" si="1"/>
        <v>1</v>
      </c>
      <c r="K9" s="55">
        <f t="shared" si="2"/>
        <v>0</v>
      </c>
      <c r="L9" s="55">
        <f t="shared" si="3"/>
        <v>0</v>
      </c>
      <c r="M9" s="1"/>
    </row>
    <row r="10" spans="1:14" hidden="1" outlineLevel="1" x14ac:dyDescent="0.25">
      <c r="A10" s="1"/>
      <c r="B10" s="34" t="s">
        <v>254</v>
      </c>
      <c r="C10" s="123"/>
      <c r="D10" s="34"/>
      <c r="E10" s="125"/>
      <c r="F10" s="126"/>
      <c r="G10" s="126"/>
      <c r="H10" s="127">
        <f t="shared" si="0"/>
        <v>0</v>
      </c>
      <c r="I10" s="126"/>
      <c r="J10" s="127">
        <f t="shared" si="1"/>
        <v>1</v>
      </c>
      <c r="K10" s="55">
        <f t="shared" si="2"/>
        <v>0</v>
      </c>
      <c r="L10" s="55">
        <f t="shared" si="3"/>
        <v>0</v>
      </c>
      <c r="M10" s="1"/>
    </row>
    <row r="11" spans="1:14" hidden="1" outlineLevel="1" x14ac:dyDescent="0.25">
      <c r="A11" s="1"/>
      <c r="B11" s="34" t="s">
        <v>111</v>
      </c>
      <c r="C11" s="123"/>
      <c r="D11" s="34"/>
      <c r="E11" s="125"/>
      <c r="F11" s="126"/>
      <c r="G11" s="126"/>
      <c r="H11" s="127">
        <f t="shared" si="0"/>
        <v>0</v>
      </c>
      <c r="I11" s="126"/>
      <c r="J11" s="127">
        <f t="shared" si="1"/>
        <v>1</v>
      </c>
      <c r="K11" s="55">
        <f t="shared" si="2"/>
        <v>0</v>
      </c>
      <c r="L11" s="55">
        <f t="shared" si="3"/>
        <v>0</v>
      </c>
      <c r="M11" s="1"/>
    </row>
    <row r="12" spans="1:14" outlineLevel="1" x14ac:dyDescent="0.25">
      <c r="A12" s="1"/>
      <c r="B12" s="35" t="s">
        <v>112</v>
      </c>
      <c r="C12" s="124"/>
      <c r="D12" s="36"/>
      <c r="E12" s="128"/>
      <c r="F12" s="128"/>
      <c r="G12" s="128"/>
      <c r="H12" s="128"/>
      <c r="I12" s="128"/>
      <c r="J12" s="128"/>
      <c r="K12" s="128"/>
      <c r="L12" s="129"/>
      <c r="M12" s="1"/>
    </row>
    <row r="13" spans="1:14" ht="24" outlineLevel="1" x14ac:dyDescent="0.25">
      <c r="A13" s="1"/>
      <c r="B13" s="34" t="s">
        <v>256</v>
      </c>
      <c r="C13" s="123" t="s">
        <v>124</v>
      </c>
      <c r="D13" s="34" t="s">
        <v>249</v>
      </c>
      <c r="E13" s="125">
        <f>-NPV_Bāze_I!Q32</f>
        <v>-545701.60963014711</v>
      </c>
      <c r="F13" s="126">
        <v>0.25</v>
      </c>
      <c r="G13" s="126">
        <v>0.2</v>
      </c>
      <c r="H13" s="127">
        <f>F13*G13</f>
        <v>0.05</v>
      </c>
      <c r="I13" s="126">
        <v>0</v>
      </c>
      <c r="J13" s="127">
        <f>1-I13</f>
        <v>1</v>
      </c>
      <c r="K13" s="55">
        <f>E13*H13*I13</f>
        <v>0</v>
      </c>
      <c r="L13" s="55">
        <f>E13*H13*J13</f>
        <v>-27285.080481507357</v>
      </c>
      <c r="M13" s="1"/>
    </row>
    <row r="14" spans="1:14" ht="24" outlineLevel="1" x14ac:dyDescent="0.25">
      <c r="A14" s="1"/>
      <c r="B14" s="34" t="s">
        <v>252</v>
      </c>
      <c r="C14" s="123" t="s">
        <v>123</v>
      </c>
      <c r="D14" s="34" t="s">
        <v>154</v>
      </c>
      <c r="E14" s="125">
        <f>-NPV_Bāze_I!Q31</f>
        <v>-682127.01203768398</v>
      </c>
      <c r="F14" s="126">
        <v>0.05</v>
      </c>
      <c r="G14" s="126">
        <v>0.3</v>
      </c>
      <c r="H14" s="127">
        <f t="shared" ref="H14:H17" si="4">F14*G14</f>
        <v>1.4999999999999999E-2</v>
      </c>
      <c r="I14" s="126">
        <v>0</v>
      </c>
      <c r="J14" s="127">
        <f t="shared" ref="J14:J17" si="5">1-I14</f>
        <v>1</v>
      </c>
      <c r="K14" s="55">
        <f t="shared" ref="K14:K17" si="6">E14*H14*I14</f>
        <v>0</v>
      </c>
      <c r="L14" s="55">
        <f t="shared" ref="L14:L17" si="7">E14*H14*J14</f>
        <v>-10231.90518056526</v>
      </c>
      <c r="M14" s="1"/>
    </row>
    <row r="15" spans="1:14" ht="24" outlineLevel="1" x14ac:dyDescent="0.25">
      <c r="A15" s="1"/>
      <c r="B15" s="34" t="s">
        <v>253</v>
      </c>
      <c r="C15" s="123" t="s">
        <v>124</v>
      </c>
      <c r="D15" s="34" t="s">
        <v>249</v>
      </c>
      <c r="E15" s="125">
        <f>-NPV_Bāze_I!Q32</f>
        <v>-545701.60963014711</v>
      </c>
      <c r="F15" s="126">
        <v>0.1</v>
      </c>
      <c r="G15" s="126">
        <v>0.05</v>
      </c>
      <c r="H15" s="127">
        <f t="shared" si="4"/>
        <v>5.000000000000001E-3</v>
      </c>
      <c r="I15" s="126">
        <v>0</v>
      </c>
      <c r="J15" s="127">
        <f t="shared" si="5"/>
        <v>1</v>
      </c>
      <c r="K15" s="55">
        <f t="shared" si="6"/>
        <v>0</v>
      </c>
      <c r="L15" s="55">
        <f t="shared" si="7"/>
        <v>-2728.5080481507362</v>
      </c>
      <c r="M15" s="1"/>
    </row>
    <row r="16" spans="1:14" hidden="1" outlineLevel="1" x14ac:dyDescent="0.25">
      <c r="A16" s="1"/>
      <c r="B16" s="34" t="s">
        <v>254</v>
      </c>
      <c r="C16" s="123"/>
      <c r="D16" s="34"/>
      <c r="E16" s="125">
        <f>NPV_Bāze_I!Q23</f>
        <v>0</v>
      </c>
      <c r="F16" s="126">
        <v>0.2</v>
      </c>
      <c r="G16" s="126">
        <v>0.25</v>
      </c>
      <c r="H16" s="127">
        <f t="shared" si="4"/>
        <v>0.05</v>
      </c>
      <c r="I16" s="126">
        <v>0</v>
      </c>
      <c r="J16" s="127">
        <f t="shared" si="5"/>
        <v>1</v>
      </c>
      <c r="K16" s="55">
        <f t="shared" si="6"/>
        <v>0</v>
      </c>
      <c r="L16" s="55">
        <f t="shared" si="7"/>
        <v>0</v>
      </c>
      <c r="M16" s="1"/>
    </row>
    <row r="17" spans="1:14" hidden="1" outlineLevel="1" x14ac:dyDescent="0.25">
      <c r="A17" s="1"/>
      <c r="B17" s="34" t="s">
        <v>111</v>
      </c>
      <c r="C17" s="123"/>
      <c r="D17" s="34"/>
      <c r="E17" s="130"/>
      <c r="F17" s="126"/>
      <c r="G17" s="126"/>
      <c r="H17" s="127">
        <f t="shared" si="4"/>
        <v>0</v>
      </c>
      <c r="I17" s="126"/>
      <c r="J17" s="127">
        <f t="shared" si="5"/>
        <v>1</v>
      </c>
      <c r="K17" s="55">
        <f t="shared" si="6"/>
        <v>0</v>
      </c>
      <c r="L17" s="55">
        <f t="shared" si="7"/>
        <v>0</v>
      </c>
      <c r="M17" s="1"/>
    </row>
    <row r="18" spans="1:14" x14ac:dyDescent="0.25">
      <c r="A18" s="1"/>
      <c r="B18" s="137"/>
      <c r="C18" s="137"/>
      <c r="D18" s="137"/>
      <c r="E18" s="137"/>
      <c r="F18" s="1"/>
      <c r="G18" s="1"/>
      <c r="H18" s="1"/>
      <c r="I18" s="1"/>
      <c r="J18" s="1"/>
      <c r="K18" s="1"/>
      <c r="L18" s="1"/>
      <c r="M18" s="1"/>
    </row>
    <row r="19" spans="1:14" ht="13.2" x14ac:dyDescent="0.25">
      <c r="A19" s="1"/>
      <c r="B19" s="118" t="s">
        <v>104</v>
      </c>
      <c r="C19" s="272" t="s">
        <v>237</v>
      </c>
      <c r="D19" s="272"/>
      <c r="E19" s="272"/>
      <c r="F19" s="272"/>
      <c r="G19" s="272"/>
      <c r="H19" s="272"/>
      <c r="I19" s="272"/>
      <c r="J19" s="272"/>
      <c r="K19" s="272"/>
      <c r="L19" s="272"/>
      <c r="M19" s="1"/>
      <c r="N19" s="144" t="s">
        <v>122</v>
      </c>
    </row>
    <row r="20" spans="1:14" ht="34.200000000000003" hidden="1" outlineLevel="1" x14ac:dyDescent="0.25">
      <c r="A20" s="1"/>
      <c r="B20" s="9" t="s">
        <v>105</v>
      </c>
      <c r="C20" s="9" t="s">
        <v>113</v>
      </c>
      <c r="D20" s="9" t="s">
        <v>132</v>
      </c>
      <c r="E20" s="9" t="s">
        <v>114</v>
      </c>
      <c r="F20" s="9" t="s">
        <v>115</v>
      </c>
      <c r="G20" s="9" t="s">
        <v>116</v>
      </c>
      <c r="H20" s="9" t="s">
        <v>117</v>
      </c>
      <c r="I20" s="9" t="s">
        <v>119</v>
      </c>
      <c r="J20" s="9" t="s">
        <v>118</v>
      </c>
      <c r="K20" s="9" t="s">
        <v>120</v>
      </c>
      <c r="L20" s="9" t="s">
        <v>121</v>
      </c>
      <c r="M20" s="136"/>
      <c r="N20" s="144" t="s">
        <v>123</v>
      </c>
    </row>
    <row r="21" spans="1:14" hidden="1" outlineLevel="1" x14ac:dyDescent="0.25">
      <c r="A21" s="1"/>
      <c r="B21" s="35" t="s">
        <v>106</v>
      </c>
      <c r="C21" s="36"/>
      <c r="D21" s="36"/>
      <c r="E21" s="36"/>
      <c r="F21" s="36"/>
      <c r="G21" s="36"/>
      <c r="H21" s="36"/>
      <c r="I21" s="36"/>
      <c r="J21" s="36"/>
      <c r="K21" s="36"/>
      <c r="L21" s="37"/>
      <c r="M21" s="1"/>
      <c r="N21" s="144" t="s">
        <v>124</v>
      </c>
    </row>
    <row r="22" spans="1:14" hidden="1" outlineLevel="1" x14ac:dyDescent="0.25">
      <c r="A22" s="1"/>
      <c r="B22" s="34" t="s">
        <v>107</v>
      </c>
      <c r="C22" s="123"/>
      <c r="D22" s="34"/>
      <c r="E22" s="125"/>
      <c r="F22" s="126"/>
      <c r="G22" s="126"/>
      <c r="H22" s="127">
        <f>F22*G22</f>
        <v>0</v>
      </c>
      <c r="I22" s="126"/>
      <c r="J22" s="127">
        <f>1-I22</f>
        <v>1</v>
      </c>
      <c r="K22" s="55">
        <f>E22*H22*I22</f>
        <v>0</v>
      </c>
      <c r="L22" s="55">
        <f>E22*H22*J22</f>
        <v>0</v>
      </c>
      <c r="M22" s="1"/>
    </row>
    <row r="23" spans="1:14" hidden="1" outlineLevel="1" x14ac:dyDescent="0.25">
      <c r="A23" s="1"/>
      <c r="B23" s="34" t="s">
        <v>108</v>
      </c>
      <c r="C23" s="123"/>
      <c r="D23" s="34"/>
      <c r="E23" s="125"/>
      <c r="F23" s="126"/>
      <c r="G23" s="126"/>
      <c r="H23" s="127">
        <f t="shared" ref="H23:H26" si="8">F23*G23</f>
        <v>0</v>
      </c>
      <c r="I23" s="126"/>
      <c r="J23" s="127">
        <f t="shared" ref="J23:J26" si="9">1-I23</f>
        <v>1</v>
      </c>
      <c r="K23" s="55">
        <f t="shared" ref="K23:K26" si="10">E23*H23*I23</f>
        <v>0</v>
      </c>
      <c r="L23" s="55">
        <f t="shared" ref="L23:L26" si="11">E23*H23*J23</f>
        <v>0</v>
      </c>
      <c r="M23" s="1"/>
    </row>
    <row r="24" spans="1:14" hidden="1" outlineLevel="1" x14ac:dyDescent="0.25">
      <c r="A24" s="1"/>
      <c r="B24" s="34" t="s">
        <v>109</v>
      </c>
      <c r="C24" s="123"/>
      <c r="D24" s="34"/>
      <c r="E24" s="125"/>
      <c r="F24" s="126"/>
      <c r="G24" s="126"/>
      <c r="H24" s="127">
        <f t="shared" si="8"/>
        <v>0</v>
      </c>
      <c r="I24" s="126"/>
      <c r="J24" s="127">
        <f t="shared" si="9"/>
        <v>1</v>
      </c>
      <c r="K24" s="55">
        <f t="shared" si="10"/>
        <v>0</v>
      </c>
      <c r="L24" s="55">
        <f t="shared" si="11"/>
        <v>0</v>
      </c>
      <c r="M24" s="1"/>
    </row>
    <row r="25" spans="1:14" hidden="1" outlineLevel="1" x14ac:dyDescent="0.25">
      <c r="A25" s="1"/>
      <c r="B25" s="34" t="s">
        <v>110</v>
      </c>
      <c r="C25" s="123"/>
      <c r="D25" s="34"/>
      <c r="E25" s="125"/>
      <c r="F25" s="126"/>
      <c r="G25" s="126"/>
      <c r="H25" s="127">
        <f t="shared" si="8"/>
        <v>0</v>
      </c>
      <c r="I25" s="126"/>
      <c r="J25" s="127">
        <f t="shared" si="9"/>
        <v>1</v>
      </c>
      <c r="K25" s="55">
        <f t="shared" si="10"/>
        <v>0</v>
      </c>
      <c r="L25" s="55">
        <f t="shared" si="11"/>
        <v>0</v>
      </c>
      <c r="M25" s="1"/>
    </row>
    <row r="26" spans="1:14" hidden="1" outlineLevel="1" x14ac:dyDescent="0.25">
      <c r="A26" s="1"/>
      <c r="B26" s="34" t="s">
        <v>111</v>
      </c>
      <c r="C26" s="123"/>
      <c r="D26" s="34"/>
      <c r="E26" s="125"/>
      <c r="F26" s="126"/>
      <c r="G26" s="126"/>
      <c r="H26" s="127">
        <f t="shared" si="8"/>
        <v>0</v>
      </c>
      <c r="I26" s="126"/>
      <c r="J26" s="127">
        <f t="shared" si="9"/>
        <v>1</v>
      </c>
      <c r="K26" s="55">
        <f t="shared" si="10"/>
        <v>0</v>
      </c>
      <c r="L26" s="55">
        <f t="shared" si="11"/>
        <v>0</v>
      </c>
      <c r="M26" s="1"/>
    </row>
    <row r="27" spans="1:14" hidden="1" outlineLevel="1" x14ac:dyDescent="0.25">
      <c r="A27" s="1"/>
      <c r="B27" s="35" t="s">
        <v>112</v>
      </c>
      <c r="C27" s="124"/>
      <c r="D27" s="36"/>
      <c r="E27" s="128"/>
      <c r="F27" s="128"/>
      <c r="G27" s="128"/>
      <c r="H27" s="128"/>
      <c r="I27" s="128"/>
      <c r="J27" s="128"/>
      <c r="K27" s="128"/>
      <c r="L27" s="129"/>
      <c r="M27" s="1"/>
    </row>
    <row r="28" spans="1:14" hidden="1" outlineLevel="1" x14ac:dyDescent="0.25">
      <c r="A28" s="1"/>
      <c r="B28" s="34" t="s">
        <v>107</v>
      </c>
      <c r="C28" s="123"/>
      <c r="D28" s="34"/>
      <c r="E28" s="130"/>
      <c r="F28" s="126"/>
      <c r="G28" s="126"/>
      <c r="H28" s="127">
        <f>F28*G28</f>
        <v>0</v>
      </c>
      <c r="I28" s="126"/>
      <c r="J28" s="127">
        <f>1-I28</f>
        <v>1</v>
      </c>
      <c r="K28" s="55">
        <f>E28*H28*I28</f>
        <v>0</v>
      </c>
      <c r="L28" s="55">
        <f>E28*H28*J28</f>
        <v>0</v>
      </c>
      <c r="M28" s="1"/>
    </row>
    <row r="29" spans="1:14" hidden="1" outlineLevel="1" x14ac:dyDescent="0.25">
      <c r="A29" s="1"/>
      <c r="B29" s="34" t="s">
        <v>108</v>
      </c>
      <c r="C29" s="123"/>
      <c r="D29" s="34"/>
      <c r="E29" s="130"/>
      <c r="F29" s="126"/>
      <c r="G29" s="126"/>
      <c r="H29" s="127">
        <f t="shared" ref="H29:H32" si="12">F29*G29</f>
        <v>0</v>
      </c>
      <c r="I29" s="126"/>
      <c r="J29" s="127">
        <f t="shared" ref="J29:J32" si="13">1-I29</f>
        <v>1</v>
      </c>
      <c r="K29" s="55">
        <f t="shared" ref="K29:K32" si="14">E29*H29*I29</f>
        <v>0</v>
      </c>
      <c r="L29" s="55">
        <f t="shared" ref="L29:L32" si="15">E29*H29*J29</f>
        <v>0</v>
      </c>
      <c r="M29" s="1"/>
    </row>
    <row r="30" spans="1:14" hidden="1" outlineLevel="1" x14ac:dyDescent="0.25">
      <c r="A30" s="1"/>
      <c r="B30" s="34" t="s">
        <v>109</v>
      </c>
      <c r="C30" s="123"/>
      <c r="D30" s="34"/>
      <c r="E30" s="130"/>
      <c r="F30" s="126"/>
      <c r="G30" s="126"/>
      <c r="H30" s="127">
        <f t="shared" si="12"/>
        <v>0</v>
      </c>
      <c r="I30" s="126"/>
      <c r="J30" s="127">
        <f t="shared" si="13"/>
        <v>1</v>
      </c>
      <c r="K30" s="55">
        <f t="shared" si="14"/>
        <v>0</v>
      </c>
      <c r="L30" s="55">
        <f t="shared" si="15"/>
        <v>0</v>
      </c>
      <c r="M30" s="1"/>
    </row>
    <row r="31" spans="1:14" hidden="1" outlineLevel="1" x14ac:dyDescent="0.25">
      <c r="A31" s="1"/>
      <c r="B31" s="34" t="s">
        <v>110</v>
      </c>
      <c r="C31" s="123"/>
      <c r="D31" s="34"/>
      <c r="E31" s="130"/>
      <c r="F31" s="126"/>
      <c r="G31" s="126"/>
      <c r="H31" s="127">
        <f t="shared" si="12"/>
        <v>0</v>
      </c>
      <c r="I31" s="126"/>
      <c r="J31" s="127">
        <f t="shared" si="13"/>
        <v>1</v>
      </c>
      <c r="K31" s="55">
        <f t="shared" si="14"/>
        <v>0</v>
      </c>
      <c r="L31" s="55">
        <f t="shared" si="15"/>
        <v>0</v>
      </c>
      <c r="M31" s="1"/>
    </row>
    <row r="32" spans="1:14" hidden="1" outlineLevel="1" x14ac:dyDescent="0.25">
      <c r="A32" s="1"/>
      <c r="B32" s="34" t="s">
        <v>111</v>
      </c>
      <c r="C32" s="123"/>
      <c r="D32" s="34"/>
      <c r="E32" s="130"/>
      <c r="F32" s="126"/>
      <c r="G32" s="126"/>
      <c r="H32" s="127">
        <f t="shared" si="12"/>
        <v>0</v>
      </c>
      <c r="I32" s="126"/>
      <c r="J32" s="127">
        <f t="shared" si="13"/>
        <v>1</v>
      </c>
      <c r="K32" s="55">
        <f t="shared" si="14"/>
        <v>0</v>
      </c>
      <c r="L32" s="55">
        <f t="shared" si="15"/>
        <v>0</v>
      </c>
      <c r="M32" s="1"/>
    </row>
    <row r="33" spans="1:13" collapsed="1" x14ac:dyDescent="0.25">
      <c r="A33" s="1"/>
      <c r="B33" s="137"/>
      <c r="C33" s="137"/>
      <c r="D33" s="137"/>
      <c r="E33" s="137"/>
      <c r="F33" s="1"/>
      <c r="G33" s="1"/>
      <c r="H33" s="1"/>
      <c r="I33" s="1"/>
      <c r="J33" s="1"/>
      <c r="K33" s="1"/>
      <c r="L33" s="1"/>
      <c r="M33" s="1"/>
    </row>
    <row r="34" spans="1:13" ht="13.2" x14ac:dyDescent="0.25">
      <c r="A34" s="1"/>
      <c r="B34" s="118" t="s">
        <v>104</v>
      </c>
      <c r="C34" s="279" t="s">
        <v>125</v>
      </c>
      <c r="D34" s="280"/>
      <c r="E34" s="280"/>
      <c r="F34" s="280"/>
      <c r="G34" s="280"/>
      <c r="H34" s="280"/>
      <c r="I34" s="280"/>
      <c r="J34" s="280"/>
      <c r="K34" s="280"/>
      <c r="L34" s="281"/>
      <c r="M34" s="1"/>
    </row>
    <row r="35" spans="1:13" ht="34.200000000000003" outlineLevel="1" x14ac:dyDescent="0.25">
      <c r="A35" s="1"/>
      <c r="B35" s="9" t="s">
        <v>105</v>
      </c>
      <c r="C35" s="9" t="s">
        <v>113</v>
      </c>
      <c r="D35" s="9" t="s">
        <v>132</v>
      </c>
      <c r="E35" s="9" t="s">
        <v>114</v>
      </c>
      <c r="F35" s="9" t="s">
        <v>115</v>
      </c>
      <c r="G35" s="9" t="s">
        <v>116</v>
      </c>
      <c r="H35" s="9" t="s">
        <v>117</v>
      </c>
      <c r="I35" s="9" t="s">
        <v>119</v>
      </c>
      <c r="J35" s="9" t="s">
        <v>118</v>
      </c>
      <c r="K35" s="9" t="s">
        <v>120</v>
      </c>
      <c r="L35" s="9" t="s">
        <v>121</v>
      </c>
      <c r="M35" s="1"/>
    </row>
    <row r="36" spans="1:13" outlineLevel="1" x14ac:dyDescent="0.25">
      <c r="A36" s="1"/>
      <c r="B36" s="35" t="s">
        <v>106</v>
      </c>
      <c r="C36" s="36"/>
      <c r="D36" s="36"/>
      <c r="E36" s="36"/>
      <c r="F36" s="36"/>
      <c r="G36" s="36"/>
      <c r="H36" s="36"/>
      <c r="I36" s="36"/>
      <c r="J36" s="36"/>
      <c r="K36" s="36"/>
      <c r="L36" s="37"/>
      <c r="M36" s="1"/>
    </row>
    <row r="37" spans="1:13" ht="36" outlineLevel="1" x14ac:dyDescent="0.25">
      <c r="A37" s="1"/>
      <c r="B37" s="34" t="s">
        <v>240</v>
      </c>
      <c r="C37" s="123" t="s">
        <v>122</v>
      </c>
      <c r="D37" s="34" t="s">
        <v>150</v>
      </c>
      <c r="E37" s="125">
        <f>NPV_PPP_partnerība!Q13</f>
        <v>-901250</v>
      </c>
      <c r="F37" s="126">
        <v>0.2</v>
      </c>
      <c r="G37" s="126">
        <v>0.1</v>
      </c>
      <c r="H37" s="127">
        <f>F37*G37</f>
        <v>2.0000000000000004E-2</v>
      </c>
      <c r="I37" s="126">
        <v>1</v>
      </c>
      <c r="J37" s="127">
        <f>1-I37</f>
        <v>0</v>
      </c>
      <c r="K37" s="55">
        <f>E37*H37*I37</f>
        <v>-18025.000000000004</v>
      </c>
      <c r="L37" s="55">
        <f>E37*H37*J37</f>
        <v>0</v>
      </c>
      <c r="M37" s="1"/>
    </row>
    <row r="38" spans="1:13" ht="24" outlineLevel="1" x14ac:dyDescent="0.25">
      <c r="A38" s="1"/>
      <c r="B38" s="34" t="s">
        <v>243</v>
      </c>
      <c r="C38" s="123" t="s">
        <v>122</v>
      </c>
      <c r="D38" s="34" t="s">
        <v>295</v>
      </c>
      <c r="E38" s="125">
        <f>NPV_PPP_partnerība!Q14</f>
        <v>-701250</v>
      </c>
      <c r="F38" s="126">
        <v>0.2</v>
      </c>
      <c r="G38" s="126">
        <v>0.1</v>
      </c>
      <c r="H38" s="127">
        <f t="shared" ref="H38:H41" si="16">F38*G38</f>
        <v>2.0000000000000004E-2</v>
      </c>
      <c r="I38" s="126">
        <v>1</v>
      </c>
      <c r="J38" s="127">
        <f t="shared" ref="J38:J41" si="17">1-I38</f>
        <v>0</v>
      </c>
      <c r="K38" s="55">
        <f t="shared" ref="K38:K41" si="18">E38*H38*I38</f>
        <v>-14025.000000000002</v>
      </c>
      <c r="L38" s="55">
        <f t="shared" ref="L38:L41" si="19">E38*H38*J38</f>
        <v>0</v>
      </c>
      <c r="M38" s="1"/>
    </row>
    <row r="39" spans="1:13" hidden="1" outlineLevel="1" x14ac:dyDescent="0.25">
      <c r="A39" s="1"/>
      <c r="B39" s="34" t="s">
        <v>109</v>
      </c>
      <c r="C39" s="123"/>
      <c r="D39" s="34"/>
      <c r="E39" s="125"/>
      <c r="F39" s="126"/>
      <c r="G39" s="126"/>
      <c r="H39" s="127">
        <f t="shared" si="16"/>
        <v>0</v>
      </c>
      <c r="I39" s="126"/>
      <c r="J39" s="127">
        <f t="shared" si="17"/>
        <v>1</v>
      </c>
      <c r="K39" s="55">
        <f t="shared" si="18"/>
        <v>0</v>
      </c>
      <c r="L39" s="55">
        <f t="shared" si="19"/>
        <v>0</v>
      </c>
      <c r="M39" s="1"/>
    </row>
    <row r="40" spans="1:13" hidden="1" outlineLevel="1" x14ac:dyDescent="0.25">
      <c r="A40" s="1"/>
      <c r="B40" s="34" t="s">
        <v>110</v>
      </c>
      <c r="C40" s="123"/>
      <c r="D40" s="34"/>
      <c r="E40" s="125"/>
      <c r="F40" s="126"/>
      <c r="G40" s="126"/>
      <c r="H40" s="127">
        <f t="shared" si="16"/>
        <v>0</v>
      </c>
      <c r="I40" s="126"/>
      <c r="J40" s="127">
        <f t="shared" si="17"/>
        <v>1</v>
      </c>
      <c r="K40" s="55">
        <f t="shared" si="18"/>
        <v>0</v>
      </c>
      <c r="L40" s="55">
        <f t="shared" si="19"/>
        <v>0</v>
      </c>
      <c r="M40" s="1"/>
    </row>
    <row r="41" spans="1:13" hidden="1" outlineLevel="1" x14ac:dyDescent="0.25">
      <c r="A41" s="1"/>
      <c r="B41" s="34" t="s">
        <v>111</v>
      </c>
      <c r="C41" s="123"/>
      <c r="D41" s="34"/>
      <c r="E41" s="125"/>
      <c r="F41" s="126"/>
      <c r="G41" s="126"/>
      <c r="H41" s="127">
        <f t="shared" si="16"/>
        <v>0</v>
      </c>
      <c r="I41" s="126"/>
      <c r="J41" s="127">
        <f t="shared" si="17"/>
        <v>1</v>
      </c>
      <c r="K41" s="55">
        <f t="shared" si="18"/>
        <v>0</v>
      </c>
      <c r="L41" s="55">
        <f t="shared" si="19"/>
        <v>0</v>
      </c>
      <c r="M41" s="1"/>
    </row>
    <row r="42" spans="1:13" outlineLevel="1" x14ac:dyDescent="0.25">
      <c r="A42" s="1"/>
      <c r="B42" s="35" t="s">
        <v>112</v>
      </c>
      <c r="C42" s="124"/>
      <c r="D42" s="36"/>
      <c r="E42" s="128"/>
      <c r="F42" s="128"/>
      <c r="G42" s="128"/>
      <c r="H42" s="128"/>
      <c r="I42" s="128"/>
      <c r="J42" s="128"/>
      <c r="K42" s="128"/>
      <c r="L42" s="129"/>
      <c r="M42" s="1"/>
    </row>
    <row r="43" spans="1:13" ht="24" outlineLevel="1" x14ac:dyDescent="0.25">
      <c r="A43" s="1"/>
      <c r="B43" s="34" t="s">
        <v>256</v>
      </c>
      <c r="C43" s="123" t="s">
        <v>124</v>
      </c>
      <c r="D43" s="34" t="s">
        <v>249</v>
      </c>
      <c r="E43" s="125">
        <f>-NPV_PPP_partnerība!Q33</f>
        <v>-545701.60963014711</v>
      </c>
      <c r="F43" s="126">
        <v>0.25</v>
      </c>
      <c r="G43" s="126">
        <v>0.1</v>
      </c>
      <c r="H43" s="127">
        <f>F43*G43</f>
        <v>2.5000000000000001E-2</v>
      </c>
      <c r="I43" s="126">
        <v>0.5</v>
      </c>
      <c r="J43" s="127">
        <f>1-I43</f>
        <v>0.5</v>
      </c>
      <c r="K43" s="55">
        <f>E43*H43*I43</f>
        <v>-6821.2701203768393</v>
      </c>
      <c r="L43" s="55">
        <f>E43*H43*J43</f>
        <v>-6821.2701203768393</v>
      </c>
      <c r="M43" s="1"/>
    </row>
    <row r="44" spans="1:13" ht="24" outlineLevel="1" x14ac:dyDescent="0.25">
      <c r="A44" s="1"/>
      <c r="B44" s="34" t="s">
        <v>252</v>
      </c>
      <c r="C44" s="123" t="s">
        <v>123</v>
      </c>
      <c r="D44" s="34" t="s">
        <v>154</v>
      </c>
      <c r="E44" s="125">
        <f>-NPV_PPP_partnerība!Q31</f>
        <v>-6284657.7557964288</v>
      </c>
      <c r="F44" s="126">
        <v>0.05</v>
      </c>
      <c r="G44" s="126">
        <v>0.1</v>
      </c>
      <c r="H44" s="127">
        <f t="shared" ref="H44:H47" si="20">F44*G44</f>
        <v>5.000000000000001E-3</v>
      </c>
      <c r="I44" s="126">
        <v>0.75</v>
      </c>
      <c r="J44" s="127">
        <f t="shared" ref="J44:J47" si="21">1-I44</f>
        <v>0.25</v>
      </c>
      <c r="K44" s="55">
        <f t="shared" ref="K44:K47" si="22">E44*H44*I44</f>
        <v>-23567.466584236612</v>
      </c>
      <c r="L44" s="55">
        <f t="shared" ref="L44:L47" si="23">E44*H44*J44</f>
        <v>-7855.8221947455377</v>
      </c>
      <c r="M44" s="1"/>
    </row>
    <row r="45" spans="1:13" ht="24" outlineLevel="1" x14ac:dyDescent="0.25">
      <c r="A45" s="1"/>
      <c r="B45" s="34" t="s">
        <v>253</v>
      </c>
      <c r="C45" s="123" t="s">
        <v>124</v>
      </c>
      <c r="D45" s="34" t="s">
        <v>249</v>
      </c>
      <c r="E45" s="125">
        <f>-NPV_PPP_partnerība!Q33</f>
        <v>-545701.60963014711</v>
      </c>
      <c r="F45" s="126">
        <v>0.1</v>
      </c>
      <c r="G45" s="126">
        <v>0.05</v>
      </c>
      <c r="H45" s="127">
        <f t="shared" si="20"/>
        <v>5.000000000000001E-3</v>
      </c>
      <c r="I45" s="126">
        <v>0.5</v>
      </c>
      <c r="J45" s="127">
        <f t="shared" si="21"/>
        <v>0.5</v>
      </c>
      <c r="K45" s="55">
        <f t="shared" si="22"/>
        <v>-1364.2540240753681</v>
      </c>
      <c r="L45" s="55">
        <f t="shared" si="23"/>
        <v>-1364.2540240753681</v>
      </c>
      <c r="M45" s="1"/>
    </row>
    <row r="46" spans="1:13" hidden="1" outlineLevel="1" x14ac:dyDescent="0.25">
      <c r="A46" s="1"/>
      <c r="B46" s="34" t="s">
        <v>110</v>
      </c>
      <c r="C46" s="123"/>
      <c r="D46" s="34"/>
      <c r="E46" s="130"/>
      <c r="F46" s="126"/>
      <c r="G46" s="126"/>
      <c r="H46" s="127">
        <f t="shared" si="20"/>
        <v>0</v>
      </c>
      <c r="I46" s="126"/>
      <c r="J46" s="127">
        <f t="shared" si="21"/>
        <v>1</v>
      </c>
      <c r="K46" s="55">
        <f t="shared" si="22"/>
        <v>0</v>
      </c>
      <c r="L46" s="55">
        <f t="shared" si="23"/>
        <v>0</v>
      </c>
      <c r="M46" s="1"/>
    </row>
    <row r="47" spans="1:13" hidden="1" outlineLevel="1" x14ac:dyDescent="0.25">
      <c r="A47" s="1"/>
      <c r="B47" s="34" t="s">
        <v>111</v>
      </c>
      <c r="C47" s="123"/>
      <c r="D47" s="34"/>
      <c r="E47" s="130"/>
      <c r="F47" s="126"/>
      <c r="G47" s="126"/>
      <c r="H47" s="127">
        <f t="shared" si="20"/>
        <v>0</v>
      </c>
      <c r="I47" s="126"/>
      <c r="J47" s="127">
        <f t="shared" si="21"/>
        <v>1</v>
      </c>
      <c r="K47" s="55">
        <f t="shared" si="22"/>
        <v>0</v>
      </c>
      <c r="L47" s="55">
        <f t="shared" si="23"/>
        <v>0</v>
      </c>
      <c r="M47" s="1"/>
    </row>
    <row r="48" spans="1:13" x14ac:dyDescent="0.25">
      <c r="A48" s="1"/>
      <c r="B48" s="137"/>
      <c r="C48" s="137"/>
      <c r="D48" s="137"/>
      <c r="E48" s="137"/>
      <c r="F48" s="1"/>
      <c r="G48" s="1"/>
      <c r="H48" s="1"/>
      <c r="I48" s="1"/>
      <c r="J48" s="1"/>
      <c r="K48" s="1"/>
      <c r="L48" s="1"/>
      <c r="M48" s="1"/>
    </row>
    <row r="49" spans="1:13" ht="13.2" x14ac:dyDescent="0.25">
      <c r="A49" s="1"/>
      <c r="B49" s="118" t="s">
        <v>104</v>
      </c>
      <c r="C49" s="272" t="s">
        <v>126</v>
      </c>
      <c r="D49" s="272"/>
      <c r="E49" s="272"/>
      <c r="F49" s="272"/>
      <c r="G49" s="272"/>
      <c r="H49" s="272"/>
      <c r="I49" s="272"/>
      <c r="J49" s="272"/>
      <c r="K49" s="272"/>
      <c r="L49" s="272"/>
      <c r="M49" s="1"/>
    </row>
    <row r="50" spans="1:13" ht="34.200000000000003" hidden="1" outlineLevel="1" x14ac:dyDescent="0.25">
      <c r="A50" s="1"/>
      <c r="B50" s="9" t="s">
        <v>105</v>
      </c>
      <c r="C50" s="9" t="s">
        <v>113</v>
      </c>
      <c r="D50" s="9" t="s">
        <v>132</v>
      </c>
      <c r="E50" s="9" t="s">
        <v>114</v>
      </c>
      <c r="F50" s="9" t="s">
        <v>115</v>
      </c>
      <c r="G50" s="9" t="s">
        <v>116</v>
      </c>
      <c r="H50" s="9" t="s">
        <v>117</v>
      </c>
      <c r="I50" s="9" t="s">
        <v>119</v>
      </c>
      <c r="J50" s="9" t="s">
        <v>118</v>
      </c>
      <c r="K50" s="9" t="s">
        <v>120</v>
      </c>
      <c r="L50" s="9" t="s">
        <v>121</v>
      </c>
      <c r="M50" s="1"/>
    </row>
    <row r="51" spans="1:13" hidden="1" outlineLevel="1" x14ac:dyDescent="0.25">
      <c r="A51" s="1"/>
      <c r="B51" s="35" t="s">
        <v>106</v>
      </c>
      <c r="C51" s="36"/>
      <c r="D51" s="36"/>
      <c r="E51" s="36"/>
      <c r="F51" s="36"/>
      <c r="G51" s="36"/>
      <c r="H51" s="36"/>
      <c r="I51" s="36"/>
      <c r="J51" s="36"/>
      <c r="K51" s="36"/>
      <c r="L51" s="37"/>
      <c r="M51" s="1"/>
    </row>
    <row r="52" spans="1:13" hidden="1" outlineLevel="1" x14ac:dyDescent="0.25">
      <c r="A52" s="1"/>
      <c r="B52" s="34" t="s">
        <v>107</v>
      </c>
      <c r="C52" s="123"/>
      <c r="D52" s="34"/>
      <c r="E52" s="125"/>
      <c r="F52" s="126"/>
      <c r="G52" s="126"/>
      <c r="H52" s="127">
        <f>F52*G52</f>
        <v>0</v>
      </c>
      <c r="I52" s="126"/>
      <c r="J52" s="127">
        <f>1-I52</f>
        <v>1</v>
      </c>
      <c r="K52" s="55">
        <f>E52*H52*I52</f>
        <v>0</v>
      </c>
      <c r="L52" s="55">
        <f>E52*H52*J52</f>
        <v>0</v>
      </c>
      <c r="M52" s="1"/>
    </row>
    <row r="53" spans="1:13" hidden="1" outlineLevel="1" x14ac:dyDescent="0.25">
      <c r="A53" s="1"/>
      <c r="B53" s="34" t="s">
        <v>108</v>
      </c>
      <c r="C53" s="123"/>
      <c r="D53" s="34"/>
      <c r="E53" s="125"/>
      <c r="F53" s="126"/>
      <c r="G53" s="126"/>
      <c r="H53" s="127">
        <f t="shared" ref="H53:H56" si="24">F53*G53</f>
        <v>0</v>
      </c>
      <c r="I53" s="126"/>
      <c r="J53" s="127">
        <f t="shared" ref="J53:J56" si="25">1-I53</f>
        <v>1</v>
      </c>
      <c r="K53" s="55">
        <f t="shared" ref="K53:K56" si="26">E53*H53*I53</f>
        <v>0</v>
      </c>
      <c r="L53" s="55">
        <f t="shared" ref="L53:L56" si="27">E53*H53*J53</f>
        <v>0</v>
      </c>
      <c r="M53" s="1"/>
    </row>
    <row r="54" spans="1:13" hidden="1" outlineLevel="1" x14ac:dyDescent="0.25">
      <c r="A54" s="1"/>
      <c r="B54" s="34" t="s">
        <v>109</v>
      </c>
      <c r="C54" s="123"/>
      <c r="D54" s="34"/>
      <c r="E54" s="125"/>
      <c r="F54" s="126"/>
      <c r="G54" s="126"/>
      <c r="H54" s="127">
        <f t="shared" si="24"/>
        <v>0</v>
      </c>
      <c r="I54" s="126"/>
      <c r="J54" s="127">
        <f t="shared" si="25"/>
        <v>1</v>
      </c>
      <c r="K54" s="55">
        <f t="shared" si="26"/>
        <v>0</v>
      </c>
      <c r="L54" s="55">
        <f t="shared" si="27"/>
        <v>0</v>
      </c>
      <c r="M54" s="1"/>
    </row>
    <row r="55" spans="1:13" hidden="1" outlineLevel="1" x14ac:dyDescent="0.25">
      <c r="A55" s="1"/>
      <c r="B55" s="34" t="s">
        <v>110</v>
      </c>
      <c r="C55" s="123"/>
      <c r="D55" s="34"/>
      <c r="E55" s="125"/>
      <c r="F55" s="126"/>
      <c r="G55" s="126"/>
      <c r="H55" s="127">
        <f t="shared" si="24"/>
        <v>0</v>
      </c>
      <c r="I55" s="126"/>
      <c r="J55" s="127">
        <f t="shared" si="25"/>
        <v>1</v>
      </c>
      <c r="K55" s="55">
        <f t="shared" si="26"/>
        <v>0</v>
      </c>
      <c r="L55" s="55">
        <f t="shared" si="27"/>
        <v>0</v>
      </c>
      <c r="M55" s="1"/>
    </row>
    <row r="56" spans="1:13" hidden="1" outlineLevel="1" x14ac:dyDescent="0.25">
      <c r="A56" s="1"/>
      <c r="B56" s="34" t="s">
        <v>111</v>
      </c>
      <c r="C56" s="123"/>
      <c r="D56" s="34"/>
      <c r="E56" s="125"/>
      <c r="F56" s="126"/>
      <c r="G56" s="126"/>
      <c r="H56" s="127">
        <f t="shared" si="24"/>
        <v>0</v>
      </c>
      <c r="I56" s="126"/>
      <c r="J56" s="127">
        <f t="shared" si="25"/>
        <v>1</v>
      </c>
      <c r="K56" s="55">
        <f t="shared" si="26"/>
        <v>0</v>
      </c>
      <c r="L56" s="55">
        <f t="shared" si="27"/>
        <v>0</v>
      </c>
      <c r="M56" s="1"/>
    </row>
    <row r="57" spans="1:13" hidden="1" outlineLevel="1" x14ac:dyDescent="0.25">
      <c r="A57" s="1"/>
      <c r="B57" s="35" t="s">
        <v>112</v>
      </c>
      <c r="C57" s="124"/>
      <c r="D57" s="36"/>
      <c r="E57" s="128"/>
      <c r="F57" s="128"/>
      <c r="G57" s="128"/>
      <c r="H57" s="128"/>
      <c r="I57" s="128"/>
      <c r="J57" s="128"/>
      <c r="K57" s="128"/>
      <c r="L57" s="129"/>
      <c r="M57" s="1"/>
    </row>
    <row r="58" spans="1:13" hidden="1" outlineLevel="1" x14ac:dyDescent="0.25">
      <c r="A58" s="1"/>
      <c r="B58" s="34" t="s">
        <v>107</v>
      </c>
      <c r="C58" s="123"/>
      <c r="D58" s="34"/>
      <c r="E58" s="130"/>
      <c r="F58" s="126"/>
      <c r="G58" s="126"/>
      <c r="H58" s="127">
        <f>F58*G58</f>
        <v>0</v>
      </c>
      <c r="I58" s="126"/>
      <c r="J58" s="127">
        <f>1-I58</f>
        <v>1</v>
      </c>
      <c r="K58" s="55">
        <f>E58*H58*I58</f>
        <v>0</v>
      </c>
      <c r="L58" s="55">
        <f>E58*H58*J58</f>
        <v>0</v>
      </c>
      <c r="M58" s="1"/>
    </row>
    <row r="59" spans="1:13" hidden="1" outlineLevel="1" x14ac:dyDescent="0.25">
      <c r="A59" s="1"/>
      <c r="B59" s="34" t="s">
        <v>108</v>
      </c>
      <c r="C59" s="123"/>
      <c r="D59" s="34"/>
      <c r="E59" s="130"/>
      <c r="F59" s="126"/>
      <c r="G59" s="126"/>
      <c r="H59" s="127">
        <f t="shared" ref="H59:H62" si="28">F59*G59</f>
        <v>0</v>
      </c>
      <c r="I59" s="126"/>
      <c r="J59" s="127">
        <f t="shared" ref="J59:J62" si="29">1-I59</f>
        <v>1</v>
      </c>
      <c r="K59" s="55">
        <f t="shared" ref="K59:K62" si="30">E59*H59*I59</f>
        <v>0</v>
      </c>
      <c r="L59" s="55">
        <f t="shared" ref="L59:L62" si="31">E59*H59*J59</f>
        <v>0</v>
      </c>
      <c r="M59" s="1"/>
    </row>
    <row r="60" spans="1:13" hidden="1" outlineLevel="1" x14ac:dyDescent="0.25">
      <c r="A60" s="1"/>
      <c r="B60" s="34" t="s">
        <v>109</v>
      </c>
      <c r="C60" s="123"/>
      <c r="D60" s="34"/>
      <c r="E60" s="130"/>
      <c r="F60" s="126"/>
      <c r="G60" s="126"/>
      <c r="H60" s="127">
        <f t="shared" si="28"/>
        <v>0</v>
      </c>
      <c r="I60" s="126"/>
      <c r="J60" s="127">
        <f t="shared" si="29"/>
        <v>1</v>
      </c>
      <c r="K60" s="55">
        <f t="shared" si="30"/>
        <v>0</v>
      </c>
      <c r="L60" s="55">
        <f t="shared" si="31"/>
        <v>0</v>
      </c>
      <c r="M60" s="1"/>
    </row>
    <row r="61" spans="1:13" hidden="1" outlineLevel="1" x14ac:dyDescent="0.25">
      <c r="A61" s="1"/>
      <c r="B61" s="34" t="s">
        <v>110</v>
      </c>
      <c r="C61" s="123"/>
      <c r="D61" s="34"/>
      <c r="E61" s="130"/>
      <c r="F61" s="126"/>
      <c r="G61" s="126"/>
      <c r="H61" s="127">
        <f t="shared" si="28"/>
        <v>0</v>
      </c>
      <c r="I61" s="126"/>
      <c r="J61" s="127">
        <f t="shared" si="29"/>
        <v>1</v>
      </c>
      <c r="K61" s="55">
        <f t="shared" si="30"/>
        <v>0</v>
      </c>
      <c r="L61" s="55">
        <f t="shared" si="31"/>
        <v>0</v>
      </c>
      <c r="M61" s="1"/>
    </row>
    <row r="62" spans="1:13" hidden="1" outlineLevel="1" x14ac:dyDescent="0.25">
      <c r="A62" s="1"/>
      <c r="B62" s="34" t="s">
        <v>111</v>
      </c>
      <c r="C62" s="123"/>
      <c r="D62" s="34"/>
      <c r="E62" s="130"/>
      <c r="F62" s="126"/>
      <c r="G62" s="126"/>
      <c r="H62" s="127">
        <f t="shared" si="28"/>
        <v>0</v>
      </c>
      <c r="I62" s="126"/>
      <c r="J62" s="127">
        <f t="shared" si="29"/>
        <v>1</v>
      </c>
      <c r="K62" s="55">
        <f t="shared" si="30"/>
        <v>0</v>
      </c>
      <c r="L62" s="55">
        <f t="shared" si="31"/>
        <v>0</v>
      </c>
      <c r="M62" s="1"/>
    </row>
    <row r="63" spans="1:13" collapsed="1" x14ac:dyDescent="0.25">
      <c r="A63" s="1"/>
      <c r="B63" s="137"/>
      <c r="C63" s="137"/>
      <c r="D63" s="137"/>
      <c r="E63" s="137"/>
      <c r="F63" s="1"/>
      <c r="G63" s="1"/>
      <c r="H63" s="1"/>
      <c r="I63" s="1"/>
      <c r="J63" s="1"/>
      <c r="K63" s="1"/>
      <c r="L63" s="1"/>
      <c r="M63" s="1"/>
    </row>
    <row r="64" spans="1:13" ht="13.2" x14ac:dyDescent="0.25">
      <c r="A64" s="1"/>
      <c r="B64" s="118" t="s">
        <v>104</v>
      </c>
      <c r="C64" s="272" t="s">
        <v>127</v>
      </c>
      <c r="D64" s="272"/>
      <c r="E64" s="272"/>
      <c r="F64" s="272"/>
      <c r="G64" s="272"/>
      <c r="H64" s="272"/>
      <c r="I64" s="272"/>
      <c r="J64" s="272"/>
      <c r="K64" s="272"/>
      <c r="L64" s="272"/>
      <c r="M64" s="1"/>
    </row>
    <row r="65" spans="1:13" ht="34.200000000000003" hidden="1" outlineLevel="1" x14ac:dyDescent="0.25">
      <c r="A65" s="1"/>
      <c r="B65" s="9" t="s">
        <v>105</v>
      </c>
      <c r="C65" s="9" t="s">
        <v>113</v>
      </c>
      <c r="D65" s="9" t="s">
        <v>132</v>
      </c>
      <c r="E65" s="9" t="s">
        <v>114</v>
      </c>
      <c r="F65" s="9" t="s">
        <v>115</v>
      </c>
      <c r="G65" s="9" t="s">
        <v>116</v>
      </c>
      <c r="H65" s="9" t="s">
        <v>117</v>
      </c>
      <c r="I65" s="9" t="s">
        <v>119</v>
      </c>
      <c r="J65" s="9" t="s">
        <v>118</v>
      </c>
      <c r="K65" s="9" t="s">
        <v>120</v>
      </c>
      <c r="L65" s="9" t="s">
        <v>121</v>
      </c>
      <c r="M65" s="1"/>
    </row>
    <row r="66" spans="1:13" hidden="1" outlineLevel="1" x14ac:dyDescent="0.25">
      <c r="A66" s="1"/>
      <c r="B66" s="35" t="s">
        <v>106</v>
      </c>
      <c r="C66" s="36"/>
      <c r="D66" s="36"/>
      <c r="E66" s="36"/>
      <c r="F66" s="36"/>
      <c r="G66" s="36"/>
      <c r="H66" s="36"/>
      <c r="I66" s="36"/>
      <c r="J66" s="36"/>
      <c r="K66" s="36"/>
      <c r="L66" s="37"/>
      <c r="M66" s="1"/>
    </row>
    <row r="67" spans="1:13" hidden="1" outlineLevel="1" x14ac:dyDescent="0.25">
      <c r="A67" s="1"/>
      <c r="B67" s="34" t="s">
        <v>107</v>
      </c>
      <c r="C67" s="123"/>
      <c r="D67" s="34"/>
      <c r="E67" s="125"/>
      <c r="F67" s="126"/>
      <c r="G67" s="126"/>
      <c r="H67" s="127">
        <f>F67*G67</f>
        <v>0</v>
      </c>
      <c r="I67" s="126"/>
      <c r="J67" s="127">
        <f>1-I67</f>
        <v>1</v>
      </c>
      <c r="K67" s="55">
        <f>E67*H67*I67</f>
        <v>0</v>
      </c>
      <c r="L67" s="55">
        <f>E67*H67*J67</f>
        <v>0</v>
      </c>
      <c r="M67" s="1"/>
    </row>
    <row r="68" spans="1:13" hidden="1" outlineLevel="1" x14ac:dyDescent="0.25">
      <c r="A68" s="1"/>
      <c r="B68" s="34" t="s">
        <v>108</v>
      </c>
      <c r="C68" s="123"/>
      <c r="D68" s="34"/>
      <c r="E68" s="125"/>
      <c r="F68" s="126"/>
      <c r="G68" s="126"/>
      <c r="H68" s="127">
        <f t="shared" ref="H68:H71" si="32">F68*G68</f>
        <v>0</v>
      </c>
      <c r="I68" s="126"/>
      <c r="J68" s="127">
        <f t="shared" ref="J68:J71" si="33">1-I68</f>
        <v>1</v>
      </c>
      <c r="K68" s="55">
        <f t="shared" ref="K68:K71" si="34">E68*H68*I68</f>
        <v>0</v>
      </c>
      <c r="L68" s="55">
        <f t="shared" ref="L68:L71" si="35">E68*H68*J68</f>
        <v>0</v>
      </c>
      <c r="M68" s="1"/>
    </row>
    <row r="69" spans="1:13" hidden="1" outlineLevel="1" x14ac:dyDescent="0.25">
      <c r="A69" s="1"/>
      <c r="B69" s="34" t="s">
        <v>109</v>
      </c>
      <c r="C69" s="123"/>
      <c r="D69" s="34"/>
      <c r="E69" s="125"/>
      <c r="F69" s="126"/>
      <c r="G69" s="126"/>
      <c r="H69" s="127">
        <f t="shared" si="32"/>
        <v>0</v>
      </c>
      <c r="I69" s="126"/>
      <c r="J69" s="127">
        <f t="shared" si="33"/>
        <v>1</v>
      </c>
      <c r="K69" s="55">
        <f t="shared" si="34"/>
        <v>0</v>
      </c>
      <c r="L69" s="55">
        <f t="shared" si="35"/>
        <v>0</v>
      </c>
      <c r="M69" s="1"/>
    </row>
    <row r="70" spans="1:13" hidden="1" outlineLevel="1" x14ac:dyDescent="0.25">
      <c r="A70" s="1"/>
      <c r="B70" s="34" t="s">
        <v>110</v>
      </c>
      <c r="C70" s="123"/>
      <c r="D70" s="34"/>
      <c r="E70" s="125"/>
      <c r="F70" s="126"/>
      <c r="G70" s="126"/>
      <c r="H70" s="127">
        <f t="shared" si="32"/>
        <v>0</v>
      </c>
      <c r="I70" s="126"/>
      <c r="J70" s="127">
        <f t="shared" si="33"/>
        <v>1</v>
      </c>
      <c r="K70" s="55">
        <f t="shared" si="34"/>
        <v>0</v>
      </c>
      <c r="L70" s="55">
        <f t="shared" si="35"/>
        <v>0</v>
      </c>
      <c r="M70" s="1"/>
    </row>
    <row r="71" spans="1:13" hidden="1" outlineLevel="1" x14ac:dyDescent="0.25">
      <c r="A71" s="1"/>
      <c r="B71" s="34" t="s">
        <v>111</v>
      </c>
      <c r="C71" s="123"/>
      <c r="D71" s="34"/>
      <c r="E71" s="125"/>
      <c r="F71" s="126"/>
      <c r="G71" s="126"/>
      <c r="H71" s="127">
        <f t="shared" si="32"/>
        <v>0</v>
      </c>
      <c r="I71" s="126"/>
      <c r="J71" s="127">
        <f t="shared" si="33"/>
        <v>1</v>
      </c>
      <c r="K71" s="55">
        <f t="shared" si="34"/>
        <v>0</v>
      </c>
      <c r="L71" s="55">
        <f t="shared" si="35"/>
        <v>0</v>
      </c>
      <c r="M71" s="1"/>
    </row>
    <row r="72" spans="1:13" hidden="1" outlineLevel="1" x14ac:dyDescent="0.25">
      <c r="A72" s="1"/>
      <c r="B72" s="35" t="s">
        <v>112</v>
      </c>
      <c r="C72" s="124"/>
      <c r="D72" s="36"/>
      <c r="E72" s="128"/>
      <c r="F72" s="128"/>
      <c r="G72" s="128"/>
      <c r="H72" s="128"/>
      <c r="I72" s="128"/>
      <c r="J72" s="128"/>
      <c r="K72" s="128"/>
      <c r="L72" s="129"/>
      <c r="M72" s="1"/>
    </row>
    <row r="73" spans="1:13" hidden="1" outlineLevel="1" x14ac:dyDescent="0.25">
      <c r="A73" s="1"/>
      <c r="B73" s="34" t="s">
        <v>107</v>
      </c>
      <c r="C73" s="123"/>
      <c r="D73" s="34"/>
      <c r="E73" s="130"/>
      <c r="F73" s="126"/>
      <c r="G73" s="126"/>
      <c r="H73" s="127">
        <f>F73*G73</f>
        <v>0</v>
      </c>
      <c r="I73" s="126"/>
      <c r="J73" s="127">
        <f>1-I73</f>
        <v>1</v>
      </c>
      <c r="K73" s="55">
        <f>E73*H73*I73</f>
        <v>0</v>
      </c>
      <c r="L73" s="55">
        <f>E73*H73*J73</f>
        <v>0</v>
      </c>
      <c r="M73" s="1"/>
    </row>
    <row r="74" spans="1:13" hidden="1" outlineLevel="1" x14ac:dyDescent="0.25">
      <c r="A74" s="1"/>
      <c r="B74" s="34" t="s">
        <v>108</v>
      </c>
      <c r="C74" s="123"/>
      <c r="D74" s="34"/>
      <c r="E74" s="130"/>
      <c r="F74" s="126"/>
      <c r="G74" s="126"/>
      <c r="H74" s="127">
        <f t="shared" ref="H74:H77" si="36">F74*G74</f>
        <v>0</v>
      </c>
      <c r="I74" s="126"/>
      <c r="J74" s="127">
        <f t="shared" ref="J74:J77" si="37">1-I74</f>
        <v>1</v>
      </c>
      <c r="K74" s="55">
        <f t="shared" ref="K74:K77" si="38">E74*H74*I74</f>
        <v>0</v>
      </c>
      <c r="L74" s="55">
        <f t="shared" ref="L74:L77" si="39">E74*H74*J74</f>
        <v>0</v>
      </c>
      <c r="M74" s="1"/>
    </row>
    <row r="75" spans="1:13" hidden="1" outlineLevel="1" x14ac:dyDescent="0.25">
      <c r="A75" s="1"/>
      <c r="B75" s="34" t="s">
        <v>109</v>
      </c>
      <c r="C75" s="123"/>
      <c r="D75" s="34"/>
      <c r="E75" s="130"/>
      <c r="F75" s="126"/>
      <c r="G75" s="126"/>
      <c r="H75" s="127">
        <f t="shared" si="36"/>
        <v>0</v>
      </c>
      <c r="I75" s="126"/>
      <c r="J75" s="127">
        <f t="shared" si="37"/>
        <v>1</v>
      </c>
      <c r="K75" s="55">
        <f t="shared" si="38"/>
        <v>0</v>
      </c>
      <c r="L75" s="55">
        <f t="shared" si="39"/>
        <v>0</v>
      </c>
      <c r="M75" s="1"/>
    </row>
    <row r="76" spans="1:13" hidden="1" outlineLevel="1" x14ac:dyDescent="0.25">
      <c r="A76" s="1"/>
      <c r="B76" s="34" t="s">
        <v>110</v>
      </c>
      <c r="C76" s="123"/>
      <c r="D76" s="34"/>
      <c r="E76" s="130"/>
      <c r="F76" s="126"/>
      <c r="G76" s="126"/>
      <c r="H76" s="127">
        <f t="shared" si="36"/>
        <v>0</v>
      </c>
      <c r="I76" s="126"/>
      <c r="J76" s="127">
        <f t="shared" si="37"/>
        <v>1</v>
      </c>
      <c r="K76" s="55">
        <f t="shared" si="38"/>
        <v>0</v>
      </c>
      <c r="L76" s="55">
        <f t="shared" si="39"/>
        <v>0</v>
      </c>
      <c r="M76" s="1"/>
    </row>
    <row r="77" spans="1:13" hidden="1" outlineLevel="1" x14ac:dyDescent="0.25">
      <c r="A77" s="1"/>
      <c r="B77" s="34" t="s">
        <v>111</v>
      </c>
      <c r="C77" s="123"/>
      <c r="D77" s="34"/>
      <c r="E77" s="130"/>
      <c r="F77" s="126"/>
      <c r="G77" s="126"/>
      <c r="H77" s="127">
        <f t="shared" si="36"/>
        <v>0</v>
      </c>
      <c r="I77" s="126"/>
      <c r="J77" s="127">
        <f t="shared" si="37"/>
        <v>1</v>
      </c>
      <c r="K77" s="55">
        <f t="shared" si="38"/>
        <v>0</v>
      </c>
      <c r="L77" s="55">
        <f t="shared" si="39"/>
        <v>0</v>
      </c>
      <c r="M77" s="1"/>
    </row>
    <row r="78" spans="1:13" collapsed="1" x14ac:dyDescent="0.25">
      <c r="A78" s="1"/>
      <c r="B78" s="137"/>
      <c r="C78" s="137"/>
      <c r="D78" s="137"/>
      <c r="E78" s="137"/>
      <c r="F78" s="1"/>
      <c r="G78" s="1"/>
      <c r="H78" s="1"/>
      <c r="I78" s="1"/>
      <c r="J78" s="1"/>
      <c r="K78" s="1"/>
      <c r="L78" s="1"/>
      <c r="M78" s="1"/>
    </row>
    <row r="79" spans="1:13" x14ac:dyDescent="0.25">
      <c r="A79" s="1"/>
      <c r="B79" s="1"/>
      <c r="C79" s="1"/>
      <c r="D79" s="1"/>
      <c r="E79" s="1"/>
      <c r="F79" s="1"/>
      <c r="G79" s="1"/>
      <c r="H79" s="1"/>
      <c r="I79" s="1"/>
      <c r="J79" s="1"/>
      <c r="K79" s="1"/>
      <c r="L79" s="1"/>
      <c r="M79" s="1"/>
    </row>
    <row r="80" spans="1:13" ht="14.4" x14ac:dyDescent="0.3">
      <c r="A80" s="1"/>
      <c r="B80" s="282" t="s">
        <v>128</v>
      </c>
      <c r="C80" s="282"/>
      <c r="D80" s="282"/>
      <c r="E80" s="282"/>
      <c r="F80" s="282"/>
      <c r="G80" s="282"/>
      <c r="H80" s="282"/>
      <c r="I80" s="282"/>
      <c r="J80" s="282"/>
      <c r="K80" s="282"/>
      <c r="L80" s="282"/>
      <c r="M80" s="1"/>
    </row>
    <row r="81" spans="1:13" s="1" customFormat="1" ht="14.4" x14ac:dyDescent="0.3">
      <c r="B81" s="178"/>
      <c r="C81" s="178"/>
      <c r="D81" s="178"/>
      <c r="E81" s="178"/>
      <c r="F81" s="178"/>
      <c r="G81" s="178"/>
      <c r="H81" s="178"/>
      <c r="I81" s="178"/>
      <c r="J81" s="178"/>
      <c r="K81" s="178"/>
      <c r="L81" s="178"/>
    </row>
    <row r="82" spans="1:13" s="1" customFormat="1" ht="14.4" x14ac:dyDescent="0.3">
      <c r="B82" s="275" t="s">
        <v>242</v>
      </c>
      <c r="C82" s="275"/>
      <c r="D82" s="275"/>
      <c r="E82" s="275"/>
      <c r="F82" s="178"/>
      <c r="G82" s="178"/>
      <c r="H82" s="178"/>
      <c r="I82" s="178"/>
      <c r="J82" s="178"/>
      <c r="K82" s="178"/>
      <c r="L82" s="178"/>
    </row>
    <row r="83" spans="1:13" x14ac:dyDescent="0.25">
      <c r="A83" s="1"/>
      <c r="B83" s="1"/>
      <c r="C83" s="1"/>
      <c r="D83" s="1"/>
      <c r="E83" s="1"/>
      <c r="F83" s="1"/>
      <c r="G83" s="1"/>
      <c r="H83" s="1"/>
      <c r="I83" s="1"/>
      <c r="J83" s="1"/>
      <c r="K83" s="1"/>
      <c r="L83" s="1"/>
      <c r="M83" s="1"/>
    </row>
    <row r="84" spans="1:13" ht="31.8" outlineLevel="1" x14ac:dyDescent="0.25">
      <c r="A84" s="1"/>
      <c r="B84" s="182" t="str">
        <f>G84</f>
        <v>BĀZES MODELIS I</v>
      </c>
      <c r="C84" s="267" t="s">
        <v>241</v>
      </c>
      <c r="D84" s="268"/>
      <c r="E84" s="194" t="s">
        <v>255</v>
      </c>
      <c r="F84" s="1"/>
      <c r="G84" s="273" t="str">
        <f>C4</f>
        <v>BĀZES MODELIS I</v>
      </c>
      <c r="H84" s="273"/>
      <c r="I84" s="268"/>
      <c r="J84" s="43" t="s">
        <v>133</v>
      </c>
      <c r="K84" s="43" t="s">
        <v>134</v>
      </c>
      <c r="L84" s="43" t="s">
        <v>135</v>
      </c>
      <c r="M84" s="1"/>
    </row>
    <row r="85" spans="1:13" ht="14.4" customHeight="1" outlineLevel="1" x14ac:dyDescent="0.25">
      <c r="A85" s="1"/>
      <c r="B85" s="183" t="s">
        <v>129</v>
      </c>
      <c r="C85" s="270" t="str">
        <f>D7</f>
        <v>Kapitālieguldījumu izmaksas</v>
      </c>
      <c r="D85" s="271"/>
      <c r="E85" s="195">
        <f>H7*J7</f>
        <v>0.05</v>
      </c>
      <c r="F85" s="1"/>
      <c r="G85" s="274" t="s">
        <v>129</v>
      </c>
      <c r="H85" s="274"/>
      <c r="I85" s="138" t="s">
        <v>122</v>
      </c>
      <c r="J85" s="120">
        <f>SUMIF($C$7:$C$17,I85,$K$7:$K$17)</f>
        <v>0</v>
      </c>
      <c r="K85" s="120">
        <f>SUMIF($C$7:$C$17,I85,$L$7:$L$17)</f>
        <v>-73112.5</v>
      </c>
      <c r="L85" s="39">
        <f>IFERROR(K85/(J85+K85),"-")</f>
        <v>1</v>
      </c>
      <c r="M85" s="1"/>
    </row>
    <row r="86" spans="1:13" ht="14.4" customHeight="1" outlineLevel="1" x14ac:dyDescent="0.25">
      <c r="A86" s="1"/>
      <c r="B86" s="184"/>
      <c r="C86" s="270" t="str">
        <f>D8</f>
        <v>1. Būvniecības izmaksas:</v>
      </c>
      <c r="D86" s="271"/>
      <c r="E86" s="195">
        <f>H8*J8</f>
        <v>4.0000000000000008E-2</v>
      </c>
      <c r="F86" s="1"/>
      <c r="G86" s="274" t="s">
        <v>130</v>
      </c>
      <c r="H86" s="274"/>
      <c r="I86" s="138" t="s">
        <v>123</v>
      </c>
      <c r="J86" s="120">
        <f>SUMIF($C$7:$C$17,I86,$K$7:$K$17)</f>
        <v>0</v>
      </c>
      <c r="K86" s="120">
        <f>SUMIF($C$7:$C$17,I86,$L$7:$L$17)</f>
        <v>-10231.90518056526</v>
      </c>
      <c r="L86" s="39">
        <f t="shared" ref="L86:L87" si="40">IFERROR(K86/(J86+K86),"-")</f>
        <v>1</v>
      </c>
      <c r="M86" s="1"/>
    </row>
    <row r="87" spans="1:13" ht="14.4" customHeight="1" outlineLevel="1" x14ac:dyDescent="0.25">
      <c r="A87" s="1"/>
      <c r="B87" s="184"/>
      <c r="C87" s="270"/>
      <c r="D87" s="271"/>
      <c r="E87" s="191"/>
      <c r="F87" s="1"/>
      <c r="G87" s="274" t="s">
        <v>131</v>
      </c>
      <c r="H87" s="274"/>
      <c r="I87" s="138" t="s">
        <v>124</v>
      </c>
      <c r="J87" s="120">
        <f>SUMIF($C$7:$C$17,I87,$K$7:$K$17)</f>
        <v>0</v>
      </c>
      <c r="K87" s="120">
        <f>SUMIF($C$7:$C$17,I87,$L$7:$L$17)</f>
        <v>-30013.588529658093</v>
      </c>
      <c r="L87" s="39">
        <f t="shared" si="40"/>
        <v>1</v>
      </c>
      <c r="M87" s="1"/>
    </row>
    <row r="88" spans="1:13" s="1" customFormat="1" ht="14.4" customHeight="1" outlineLevel="1" x14ac:dyDescent="0.25">
      <c r="B88" s="183" t="s">
        <v>130</v>
      </c>
      <c r="C88" s="270" t="str">
        <f>D14</f>
        <v>Projekta ieņēmumi</v>
      </c>
      <c r="D88" s="271"/>
      <c r="E88" s="195">
        <f>H14*J14</f>
        <v>1.4999999999999999E-2</v>
      </c>
      <c r="G88" s="164"/>
      <c r="H88" s="164"/>
      <c r="I88" s="177"/>
      <c r="J88" s="141"/>
      <c r="K88" s="141"/>
      <c r="L88" s="142"/>
    </row>
    <row r="89" spans="1:13" s="1" customFormat="1" ht="14.4" customHeight="1" outlineLevel="1" x14ac:dyDescent="0.25">
      <c r="B89" s="184"/>
      <c r="C89" s="270"/>
      <c r="D89" s="271"/>
      <c r="E89" s="195"/>
      <c r="G89" s="164"/>
      <c r="H89" s="164"/>
      <c r="I89" s="177"/>
      <c r="J89" s="141"/>
      <c r="K89" s="141"/>
      <c r="L89" s="142"/>
    </row>
    <row r="90" spans="1:13" s="1" customFormat="1" ht="14.4" hidden="1" customHeight="1" outlineLevel="1" x14ac:dyDescent="0.25">
      <c r="B90" s="184"/>
      <c r="C90" s="270"/>
      <c r="D90" s="271"/>
      <c r="E90" s="191"/>
      <c r="G90" s="164"/>
      <c r="H90" s="164"/>
      <c r="I90" s="177"/>
      <c r="J90" s="141"/>
      <c r="K90" s="141"/>
      <c r="L90" s="142"/>
    </row>
    <row r="91" spans="1:13" s="1" customFormat="1" ht="14.4" customHeight="1" outlineLevel="1" x14ac:dyDescent="0.25">
      <c r="B91" s="183" t="s">
        <v>131</v>
      </c>
      <c r="C91" s="270" t="str">
        <f>D13</f>
        <v>Ieņēmumi no klientiem</v>
      </c>
      <c r="D91" s="271"/>
      <c r="E91" s="195">
        <f>H13*J13+H15*J15</f>
        <v>5.5000000000000007E-2</v>
      </c>
      <c r="G91" s="164"/>
      <c r="H91" s="164"/>
      <c r="I91" s="177"/>
      <c r="J91" s="141"/>
      <c r="K91" s="141"/>
      <c r="L91" s="142"/>
    </row>
    <row r="92" spans="1:13" s="1" customFormat="1" ht="14.4" hidden="1" customHeight="1" outlineLevel="1" x14ac:dyDescent="0.25">
      <c r="B92" s="183"/>
      <c r="C92" s="186"/>
      <c r="D92" s="187"/>
      <c r="E92" s="191"/>
      <c r="G92" s="164"/>
      <c r="H92" s="164"/>
      <c r="I92" s="177"/>
      <c r="J92" s="141"/>
      <c r="K92" s="141"/>
      <c r="L92" s="142"/>
    </row>
    <row r="93" spans="1:13" s="1" customFormat="1" ht="14.4" customHeight="1" outlineLevel="1" x14ac:dyDescent="0.25">
      <c r="B93" s="184"/>
      <c r="C93" s="270"/>
      <c r="D93" s="271"/>
      <c r="E93" s="191"/>
      <c r="G93" s="164"/>
      <c r="H93" s="164"/>
      <c r="I93" s="177"/>
      <c r="J93" s="141"/>
      <c r="K93" s="141"/>
      <c r="L93" s="142"/>
    </row>
    <row r="94" spans="1:13" s="145" customFormat="1" ht="14.4" customHeight="1" x14ac:dyDescent="0.25">
      <c r="A94" s="112"/>
      <c r="B94" s="112"/>
      <c r="C94" s="188"/>
      <c r="D94" s="188"/>
      <c r="E94" s="112"/>
      <c r="F94" s="112"/>
      <c r="G94" s="139"/>
      <c r="H94" s="139"/>
      <c r="I94" s="140"/>
      <c r="J94" s="141"/>
      <c r="K94" s="141"/>
      <c r="L94" s="142"/>
      <c r="M94" s="112"/>
    </row>
    <row r="95" spans="1:13" s="145" customFormat="1" ht="31.8" hidden="1" outlineLevel="1" x14ac:dyDescent="0.25">
      <c r="A95" s="112"/>
      <c r="B95" s="182" t="str">
        <f>G95</f>
        <v>BĀZES MODELIS II</v>
      </c>
      <c r="C95" s="267" t="s">
        <v>241</v>
      </c>
      <c r="D95" s="268"/>
      <c r="E95" s="194" t="s">
        <v>255</v>
      </c>
      <c r="F95" s="112"/>
      <c r="G95" s="273" t="str">
        <f>C19</f>
        <v>BĀZES MODELIS II</v>
      </c>
      <c r="H95" s="273"/>
      <c r="I95" s="268"/>
      <c r="J95" s="43" t="s">
        <v>133</v>
      </c>
      <c r="K95" s="43" t="s">
        <v>134</v>
      </c>
      <c r="L95" s="43" t="s">
        <v>135</v>
      </c>
      <c r="M95" s="112"/>
    </row>
    <row r="96" spans="1:13" s="145" customFormat="1" ht="14.4" hidden="1" customHeight="1" outlineLevel="1" x14ac:dyDescent="0.25">
      <c r="A96" s="112"/>
      <c r="B96" s="183" t="s">
        <v>129</v>
      </c>
      <c r="C96" s="270"/>
      <c r="D96" s="271"/>
      <c r="E96" s="191"/>
      <c r="F96" s="112"/>
      <c r="G96" s="274" t="s">
        <v>129</v>
      </c>
      <c r="H96" s="274"/>
      <c r="I96" s="138" t="s">
        <v>122</v>
      </c>
      <c r="J96" s="38">
        <f>SUMIF($C$22:$C$32,I96,$K$22:$K$32)</f>
        <v>0</v>
      </c>
      <c r="K96" s="38">
        <f>SUMIF($C$22:$C$22,I96,$L$22:$L$22)</f>
        <v>0</v>
      </c>
      <c r="L96" s="39" t="str">
        <f>IFERROR(K96/(J96+K96),"-")</f>
        <v>-</v>
      </c>
      <c r="M96" s="112"/>
    </row>
    <row r="97" spans="1:13" s="145" customFormat="1" ht="14.4" hidden="1" customHeight="1" outlineLevel="1" x14ac:dyDescent="0.25">
      <c r="A97" s="112"/>
      <c r="B97" s="184"/>
      <c r="C97" s="270"/>
      <c r="D97" s="271"/>
      <c r="E97" s="191"/>
      <c r="F97" s="112"/>
      <c r="G97" s="274" t="s">
        <v>130</v>
      </c>
      <c r="H97" s="274"/>
      <c r="I97" s="138" t="s">
        <v>123</v>
      </c>
      <c r="J97" s="38">
        <f>SUMIF($C$22:$C$32,I97,$K$22:$K$32)</f>
        <v>0</v>
      </c>
      <c r="K97" s="38">
        <f t="shared" ref="K97:K98" si="41">SUMIF($C$22:$C$22,I97,$L$22:$L$22)</f>
        <v>0</v>
      </c>
      <c r="L97" s="39" t="str">
        <f t="shared" ref="L97:L98" si="42">IFERROR(K97/(J97+K97),"-")</f>
        <v>-</v>
      </c>
      <c r="M97" s="112"/>
    </row>
    <row r="98" spans="1:13" s="145" customFormat="1" ht="14.4" hidden="1" customHeight="1" outlineLevel="1" x14ac:dyDescent="0.25">
      <c r="A98" s="112"/>
      <c r="B98" s="184"/>
      <c r="C98" s="270"/>
      <c r="D98" s="271"/>
      <c r="E98" s="191"/>
      <c r="F98" s="112"/>
      <c r="G98" s="274" t="s">
        <v>131</v>
      </c>
      <c r="H98" s="274"/>
      <c r="I98" s="138" t="s">
        <v>124</v>
      </c>
      <c r="J98" s="38">
        <f>SUMIF($C$22:$C$32,I98,$K$22:$K$32)</f>
        <v>0</v>
      </c>
      <c r="K98" s="38">
        <f t="shared" si="41"/>
        <v>0</v>
      </c>
      <c r="L98" s="39" t="str">
        <f t="shared" si="42"/>
        <v>-</v>
      </c>
      <c r="M98" s="112"/>
    </row>
    <row r="99" spans="1:13" s="112" customFormat="1" ht="14.4" hidden="1" customHeight="1" outlineLevel="1" x14ac:dyDescent="0.25">
      <c r="B99" s="183" t="s">
        <v>130</v>
      </c>
      <c r="C99" s="270"/>
      <c r="D99" s="271"/>
      <c r="E99" s="191"/>
      <c r="G99" s="164"/>
      <c r="H99" s="164"/>
      <c r="I99" s="177"/>
      <c r="J99" s="141"/>
      <c r="K99" s="141"/>
      <c r="L99" s="142"/>
    </row>
    <row r="100" spans="1:13" s="112" customFormat="1" ht="14.4" hidden="1" customHeight="1" outlineLevel="1" x14ac:dyDescent="0.25">
      <c r="B100" s="184"/>
      <c r="C100" s="270"/>
      <c r="D100" s="271"/>
      <c r="E100" s="191"/>
      <c r="G100" s="164"/>
      <c r="H100" s="164"/>
      <c r="I100" s="177"/>
      <c r="J100" s="141"/>
      <c r="K100" s="141"/>
      <c r="L100" s="142"/>
    </row>
    <row r="101" spans="1:13" s="112" customFormat="1" ht="14.4" hidden="1" customHeight="1" outlineLevel="1" x14ac:dyDescent="0.25">
      <c r="B101" s="184"/>
      <c r="C101" s="270"/>
      <c r="D101" s="271"/>
      <c r="E101" s="191"/>
      <c r="G101" s="164"/>
      <c r="H101" s="164"/>
      <c r="I101" s="177"/>
      <c r="J101" s="141"/>
      <c r="K101" s="141"/>
      <c r="L101" s="142"/>
    </row>
    <row r="102" spans="1:13" s="112" customFormat="1" ht="14.4" hidden="1" customHeight="1" outlineLevel="1" x14ac:dyDescent="0.25">
      <c r="B102" s="183" t="s">
        <v>131</v>
      </c>
      <c r="C102" s="270"/>
      <c r="D102" s="271"/>
      <c r="E102" s="191"/>
      <c r="G102" s="164"/>
      <c r="H102" s="164"/>
      <c r="I102" s="177"/>
      <c r="J102" s="141"/>
      <c r="K102" s="141"/>
      <c r="L102" s="142"/>
    </row>
    <row r="103" spans="1:13" s="112" customFormat="1" ht="14.4" hidden="1" customHeight="1" outlineLevel="1" x14ac:dyDescent="0.25">
      <c r="B103" s="185"/>
      <c r="C103" s="270"/>
      <c r="D103" s="271"/>
      <c r="E103" s="191"/>
      <c r="G103" s="164"/>
      <c r="H103" s="164"/>
      <c r="I103" s="177"/>
      <c r="J103" s="141"/>
      <c r="K103" s="141"/>
      <c r="L103" s="142"/>
    </row>
    <row r="104" spans="1:13" s="112" customFormat="1" ht="14.4" hidden="1" customHeight="1" outlineLevel="1" x14ac:dyDescent="0.25">
      <c r="B104" s="184"/>
      <c r="C104" s="270"/>
      <c r="D104" s="271"/>
      <c r="E104" s="191"/>
      <c r="G104" s="164"/>
      <c r="H104" s="164"/>
      <c r="I104" s="177"/>
      <c r="J104" s="141"/>
      <c r="K104" s="141"/>
      <c r="L104" s="142"/>
    </row>
    <row r="105" spans="1:13" s="145" customFormat="1" ht="14.4" customHeight="1" collapsed="1" x14ac:dyDescent="0.25">
      <c r="A105" s="112"/>
      <c r="B105" s="112"/>
      <c r="C105" s="112"/>
      <c r="D105" s="112"/>
      <c r="E105" s="112"/>
      <c r="F105" s="112"/>
      <c r="G105" s="164"/>
      <c r="H105" s="164"/>
      <c r="I105" s="140"/>
      <c r="J105" s="141"/>
      <c r="K105" s="141"/>
      <c r="L105" s="142"/>
      <c r="M105" s="112"/>
    </row>
    <row r="106" spans="1:13" ht="31.8" outlineLevel="1" x14ac:dyDescent="0.25">
      <c r="A106" s="1"/>
      <c r="B106" s="182" t="str">
        <f>G106</f>
        <v>PPP PARTNERĪBAS LĪGUMS</v>
      </c>
      <c r="C106" s="267" t="s">
        <v>241</v>
      </c>
      <c r="D106" s="268"/>
      <c r="E106" s="194" t="s">
        <v>255</v>
      </c>
      <c r="F106" s="1"/>
      <c r="G106" s="273" t="str">
        <f>C34</f>
        <v>PPP PARTNERĪBAS LĪGUMS</v>
      </c>
      <c r="H106" s="273"/>
      <c r="I106" s="268"/>
      <c r="J106" s="43" t="s">
        <v>133</v>
      </c>
      <c r="K106" s="43" t="s">
        <v>134</v>
      </c>
      <c r="L106" s="43" t="s">
        <v>135</v>
      </c>
      <c r="M106" s="1"/>
    </row>
    <row r="107" spans="1:13" outlineLevel="1" x14ac:dyDescent="0.25">
      <c r="A107" s="1"/>
      <c r="B107" s="183" t="s">
        <v>129</v>
      </c>
      <c r="C107" s="264" t="str">
        <f>D37</f>
        <v>Kapitālieguldījumu izmaksas</v>
      </c>
      <c r="D107" s="265"/>
      <c r="E107" s="195">
        <f>H37*J37</f>
        <v>0</v>
      </c>
      <c r="F107" s="1"/>
      <c r="G107" s="274" t="s">
        <v>129</v>
      </c>
      <c r="H107" s="274"/>
      <c r="I107" s="138" t="s">
        <v>122</v>
      </c>
      <c r="J107" s="120">
        <f>SUMIF($C$37:$C$47,I107,$K$37:$K$47)</f>
        <v>-32050.000000000007</v>
      </c>
      <c r="K107" s="120">
        <f>SUMIF($C$37:$C$47,I107,$L$37:$L$47)</f>
        <v>0</v>
      </c>
      <c r="L107" s="39">
        <f>IFERROR(K107/(J107+K107),"-")</f>
        <v>0</v>
      </c>
      <c r="M107" s="1"/>
    </row>
    <row r="108" spans="1:13" outlineLevel="1" x14ac:dyDescent="0.25">
      <c r="A108" s="1"/>
      <c r="B108" s="184"/>
      <c r="C108" s="264" t="str">
        <f>D38</f>
        <v>1. Būvniecības izmaksas:</v>
      </c>
      <c r="D108" s="265"/>
      <c r="E108" s="195">
        <f>H38*J38</f>
        <v>0</v>
      </c>
      <c r="F108" s="1"/>
      <c r="G108" s="274" t="s">
        <v>130</v>
      </c>
      <c r="H108" s="274"/>
      <c r="I108" s="138" t="s">
        <v>123</v>
      </c>
      <c r="J108" s="120">
        <f t="shared" ref="J108:J109" si="43">SUMIF($C$37:$C$47,I108,$K$37:$K$47)</f>
        <v>-23567.466584236612</v>
      </c>
      <c r="K108" s="120">
        <f t="shared" ref="K108:K109" si="44">SUMIF($C$37:$C$47,I108,$L$37:$L$47)</f>
        <v>-7855.8221947455377</v>
      </c>
      <c r="L108" s="39">
        <f t="shared" ref="L108:L109" si="45">IFERROR(K108/(J108+K108),"-")</f>
        <v>0.25</v>
      </c>
      <c r="M108" s="1"/>
    </row>
    <row r="109" spans="1:13" outlineLevel="1" x14ac:dyDescent="0.25">
      <c r="A109" s="1"/>
      <c r="B109" s="184"/>
      <c r="C109" s="264"/>
      <c r="D109" s="265"/>
      <c r="E109" s="191"/>
      <c r="F109" s="1"/>
      <c r="G109" s="274" t="s">
        <v>131</v>
      </c>
      <c r="H109" s="274"/>
      <c r="I109" s="138" t="s">
        <v>124</v>
      </c>
      <c r="J109" s="120">
        <f t="shared" si="43"/>
        <v>-8185.5241444522071</v>
      </c>
      <c r="K109" s="120">
        <f t="shared" si="44"/>
        <v>-8185.5241444522071</v>
      </c>
      <c r="L109" s="39">
        <f t="shared" si="45"/>
        <v>0.5</v>
      </c>
      <c r="M109" s="1"/>
    </row>
    <row r="110" spans="1:13" s="1" customFormat="1" outlineLevel="1" x14ac:dyDescent="0.25">
      <c r="B110" s="183" t="s">
        <v>130</v>
      </c>
      <c r="C110" s="264" t="str">
        <f>D44</f>
        <v>Projekta ieņēmumi</v>
      </c>
      <c r="D110" s="265"/>
      <c r="E110" s="195">
        <f>H44*J44</f>
        <v>1.2500000000000002E-3</v>
      </c>
      <c r="G110" s="164"/>
      <c r="H110" s="164"/>
      <c r="I110" s="177"/>
      <c r="J110" s="141"/>
      <c r="K110" s="141"/>
      <c r="L110" s="142"/>
    </row>
    <row r="111" spans="1:13" s="1" customFormat="1" hidden="1" outlineLevel="1" x14ac:dyDescent="0.25">
      <c r="B111" s="184"/>
      <c r="C111" s="264"/>
      <c r="D111" s="265"/>
      <c r="E111" s="191"/>
      <c r="G111" s="164"/>
      <c r="H111" s="164"/>
      <c r="I111" s="177"/>
      <c r="J111" s="141"/>
      <c r="K111" s="141"/>
      <c r="L111" s="142"/>
    </row>
    <row r="112" spans="1:13" s="1" customFormat="1" outlineLevel="1" x14ac:dyDescent="0.25">
      <c r="B112" s="184"/>
      <c r="C112" s="264"/>
      <c r="D112" s="265"/>
      <c r="E112" s="191"/>
      <c r="G112" s="164"/>
      <c r="H112" s="164"/>
      <c r="I112" s="177"/>
      <c r="J112" s="141"/>
      <c r="K112" s="141"/>
      <c r="L112" s="142"/>
    </row>
    <row r="113" spans="1:13" s="1" customFormat="1" outlineLevel="1" x14ac:dyDescent="0.25">
      <c r="B113" s="183" t="s">
        <v>131</v>
      </c>
      <c r="C113" s="264" t="str">
        <f>D43</f>
        <v>Ieņēmumi no klientiem</v>
      </c>
      <c r="D113" s="265"/>
      <c r="E113" s="195">
        <f>H43*J43+H45*J45</f>
        <v>1.5000000000000001E-2</v>
      </c>
      <c r="G113" s="164"/>
      <c r="H113" s="164"/>
      <c r="I113" s="177"/>
      <c r="J113" s="141"/>
      <c r="K113" s="141"/>
      <c r="L113" s="142"/>
    </row>
    <row r="114" spans="1:13" s="1" customFormat="1" outlineLevel="1" x14ac:dyDescent="0.25">
      <c r="B114" s="183"/>
      <c r="C114" s="189"/>
      <c r="D114" s="190"/>
      <c r="E114" s="191"/>
      <c r="G114" s="164"/>
      <c r="H114" s="164"/>
      <c r="I114" s="177"/>
      <c r="J114" s="141"/>
      <c r="K114" s="141"/>
      <c r="L114" s="142"/>
    </row>
    <row r="115" spans="1:13" s="1" customFormat="1" hidden="1" outlineLevel="1" x14ac:dyDescent="0.25">
      <c r="B115" s="184"/>
      <c r="C115" s="264"/>
      <c r="D115" s="265"/>
      <c r="E115" s="191"/>
      <c r="G115" s="164"/>
      <c r="H115" s="164"/>
      <c r="I115" s="177"/>
      <c r="J115" s="141"/>
      <c r="K115" s="141"/>
      <c r="L115" s="142"/>
    </row>
    <row r="116" spans="1:13" s="1" customFormat="1" outlineLevel="1" x14ac:dyDescent="0.25">
      <c r="B116" s="184"/>
      <c r="C116" s="264"/>
      <c r="D116" s="265"/>
      <c r="E116" s="191"/>
      <c r="G116" s="164"/>
      <c r="H116" s="164"/>
      <c r="I116" s="177"/>
      <c r="J116" s="141"/>
      <c r="K116" s="141"/>
      <c r="L116" s="142"/>
    </row>
    <row r="117" spans="1:13" s="145" customFormat="1" x14ac:dyDescent="0.25">
      <c r="A117" s="112"/>
      <c r="B117" s="112"/>
      <c r="C117" s="180"/>
      <c r="D117" s="180"/>
      <c r="E117" s="112"/>
      <c r="F117" s="112"/>
      <c r="G117" s="139"/>
      <c r="H117" s="139"/>
      <c r="I117" s="140"/>
      <c r="J117" s="141"/>
      <c r="K117" s="141"/>
      <c r="L117" s="142"/>
      <c r="M117" s="112"/>
    </row>
    <row r="118" spans="1:13" ht="31.8" hidden="1" outlineLevel="1" x14ac:dyDescent="0.25">
      <c r="A118" s="1"/>
      <c r="B118" s="182" t="str">
        <f>G118</f>
        <v>PPP KONCESIJAS LĪGUMS</v>
      </c>
      <c r="C118" s="267" t="s">
        <v>241</v>
      </c>
      <c r="D118" s="268"/>
      <c r="E118" s="194" t="s">
        <v>255</v>
      </c>
      <c r="F118" s="1"/>
      <c r="G118" s="273" t="str">
        <f>C49</f>
        <v>PPP KONCESIJAS LĪGUMS</v>
      </c>
      <c r="H118" s="273"/>
      <c r="I118" s="268"/>
      <c r="J118" s="43" t="s">
        <v>133</v>
      </c>
      <c r="K118" s="43" t="s">
        <v>134</v>
      </c>
      <c r="L118" s="43" t="s">
        <v>135</v>
      </c>
      <c r="M118" s="1"/>
    </row>
    <row r="119" spans="1:13" hidden="1" outlineLevel="1" x14ac:dyDescent="0.25">
      <c r="A119" s="1"/>
      <c r="B119" s="183" t="s">
        <v>129</v>
      </c>
      <c r="C119" s="264"/>
      <c r="D119" s="265"/>
      <c r="E119" s="191"/>
      <c r="F119" s="1"/>
      <c r="G119" s="274" t="s">
        <v>129</v>
      </c>
      <c r="H119" s="274"/>
      <c r="I119" s="138" t="s">
        <v>122</v>
      </c>
      <c r="J119" s="38">
        <f>SUMIF($C$52:$C$62,I119,$K$52:$K$62)</f>
        <v>0</v>
      </c>
      <c r="K119" s="38">
        <f>SUMIF($C$52:$C$62,I119,$L$52:$L$62)</f>
        <v>0</v>
      </c>
      <c r="L119" s="39" t="str">
        <f>IFERROR(K119/(J119+K119),"-")</f>
        <v>-</v>
      </c>
      <c r="M119" s="1"/>
    </row>
    <row r="120" spans="1:13" hidden="1" outlineLevel="1" x14ac:dyDescent="0.25">
      <c r="A120" s="1"/>
      <c r="B120" s="184"/>
      <c r="C120" s="264"/>
      <c r="D120" s="265"/>
      <c r="E120" s="191"/>
      <c r="F120" s="1"/>
      <c r="G120" s="274" t="s">
        <v>130</v>
      </c>
      <c r="H120" s="274"/>
      <c r="I120" s="138" t="s">
        <v>123</v>
      </c>
      <c r="J120" s="38">
        <f t="shared" ref="J120:J121" si="46">SUMIF($C$52:$C$62,I120,$K$52:$K$62)</f>
        <v>0</v>
      </c>
      <c r="K120" s="38">
        <f t="shared" ref="K120:K121" si="47">SUMIF($C$52:$C$62,I120,$L$52:$L$62)</f>
        <v>0</v>
      </c>
      <c r="L120" s="39" t="str">
        <f t="shared" ref="L120:L121" si="48">IFERROR(K120/(J120+K120),"-")</f>
        <v>-</v>
      </c>
      <c r="M120" s="1"/>
    </row>
    <row r="121" spans="1:13" hidden="1" outlineLevel="1" x14ac:dyDescent="0.25">
      <c r="A121" s="1"/>
      <c r="B121" s="184"/>
      <c r="C121" s="264"/>
      <c r="D121" s="265"/>
      <c r="E121" s="191"/>
      <c r="F121" s="1"/>
      <c r="G121" s="274" t="s">
        <v>131</v>
      </c>
      <c r="H121" s="274"/>
      <c r="I121" s="138" t="s">
        <v>124</v>
      </c>
      <c r="J121" s="38">
        <f t="shared" si="46"/>
        <v>0</v>
      </c>
      <c r="K121" s="38">
        <f t="shared" si="47"/>
        <v>0</v>
      </c>
      <c r="L121" s="39" t="str">
        <f t="shared" si="48"/>
        <v>-</v>
      </c>
      <c r="M121" s="1"/>
    </row>
    <row r="122" spans="1:13" s="1" customFormat="1" hidden="1" outlineLevel="1" x14ac:dyDescent="0.25">
      <c r="B122" s="183" t="s">
        <v>130</v>
      </c>
      <c r="C122" s="264"/>
      <c r="D122" s="265"/>
      <c r="E122" s="191"/>
      <c r="G122" s="164"/>
      <c r="H122" s="164"/>
      <c r="I122" s="177"/>
      <c r="J122" s="141"/>
      <c r="K122" s="141"/>
      <c r="L122" s="142"/>
    </row>
    <row r="123" spans="1:13" s="1" customFormat="1" hidden="1" outlineLevel="1" x14ac:dyDescent="0.25">
      <c r="B123" s="184"/>
      <c r="C123" s="264"/>
      <c r="D123" s="265"/>
      <c r="E123" s="191"/>
      <c r="G123" s="164"/>
      <c r="H123" s="164"/>
      <c r="I123" s="177"/>
      <c r="J123" s="141"/>
      <c r="K123" s="141"/>
      <c r="L123" s="142"/>
    </row>
    <row r="124" spans="1:13" s="1" customFormat="1" hidden="1" outlineLevel="1" x14ac:dyDescent="0.25">
      <c r="B124" s="184"/>
      <c r="C124" s="264"/>
      <c r="D124" s="265"/>
      <c r="E124" s="191"/>
      <c r="G124" s="164"/>
      <c r="H124" s="164"/>
      <c r="I124" s="177"/>
      <c r="J124" s="141"/>
      <c r="K124" s="141"/>
      <c r="L124" s="142"/>
    </row>
    <row r="125" spans="1:13" s="1" customFormat="1" hidden="1" outlineLevel="1" x14ac:dyDescent="0.25">
      <c r="B125" s="183" t="s">
        <v>131</v>
      </c>
      <c r="C125" s="264"/>
      <c r="D125" s="265"/>
      <c r="E125" s="191"/>
      <c r="G125" s="164"/>
      <c r="H125" s="164"/>
      <c r="I125" s="177"/>
      <c r="J125" s="141"/>
      <c r="K125" s="141"/>
      <c r="L125" s="142"/>
    </row>
    <row r="126" spans="1:13" s="1" customFormat="1" hidden="1" outlineLevel="1" x14ac:dyDescent="0.25">
      <c r="B126" s="184"/>
      <c r="C126" s="264"/>
      <c r="D126" s="265"/>
      <c r="E126" s="191"/>
      <c r="G126" s="164"/>
      <c r="H126" s="164"/>
      <c r="I126" s="177"/>
      <c r="J126" s="141"/>
      <c r="K126" s="141"/>
      <c r="L126" s="142"/>
    </row>
    <row r="127" spans="1:13" s="1" customFormat="1" hidden="1" outlineLevel="1" x14ac:dyDescent="0.25">
      <c r="B127" s="184"/>
      <c r="C127" s="189"/>
      <c r="D127" s="190"/>
      <c r="E127" s="191"/>
      <c r="G127" s="164"/>
      <c r="H127" s="164"/>
      <c r="I127" s="177"/>
      <c r="J127" s="141"/>
      <c r="K127" s="141"/>
      <c r="L127" s="142"/>
    </row>
    <row r="128" spans="1:13" s="1" customFormat="1" hidden="1" outlineLevel="1" x14ac:dyDescent="0.25">
      <c r="B128" s="184"/>
      <c r="C128" s="264"/>
      <c r="D128" s="265"/>
      <c r="E128" s="191"/>
      <c r="G128" s="164"/>
      <c r="H128" s="164"/>
      <c r="I128" s="177"/>
      <c r="J128" s="141"/>
      <c r="K128" s="141"/>
      <c r="L128" s="142"/>
    </row>
    <row r="129" spans="1:13" s="145" customFormat="1" collapsed="1" x14ac:dyDescent="0.25">
      <c r="A129" s="112"/>
      <c r="B129" s="112"/>
      <c r="C129" s="180"/>
      <c r="D129" s="180"/>
      <c r="E129" s="112"/>
      <c r="F129" s="112"/>
      <c r="G129" s="139"/>
      <c r="H129" s="139"/>
      <c r="I129" s="140"/>
      <c r="J129" s="141"/>
      <c r="K129" s="141"/>
      <c r="L129" s="142"/>
      <c r="M129" s="112"/>
    </row>
    <row r="130" spans="1:13" ht="31.8" hidden="1" outlineLevel="1" x14ac:dyDescent="0.25">
      <c r="A130" s="1"/>
      <c r="B130" s="182" t="str">
        <f>G130</f>
        <v>PPP INSTITUCIONĀLĀ PARTNERĪBA</v>
      </c>
      <c r="C130" s="267" t="s">
        <v>241</v>
      </c>
      <c r="D130" s="268"/>
      <c r="E130" s="194" t="s">
        <v>255</v>
      </c>
      <c r="F130" s="1"/>
      <c r="G130" s="273" t="str">
        <f>C64</f>
        <v>PPP INSTITUCIONĀLĀ PARTNERĪBA</v>
      </c>
      <c r="H130" s="273"/>
      <c r="I130" s="268"/>
      <c r="J130" s="43" t="s">
        <v>133</v>
      </c>
      <c r="K130" s="43" t="s">
        <v>134</v>
      </c>
      <c r="L130" s="43" t="s">
        <v>135</v>
      </c>
      <c r="M130" s="1"/>
    </row>
    <row r="131" spans="1:13" hidden="1" outlineLevel="1" x14ac:dyDescent="0.25">
      <c r="A131" s="1"/>
      <c r="B131" s="183" t="s">
        <v>129</v>
      </c>
      <c r="C131" s="264"/>
      <c r="D131" s="265"/>
      <c r="E131" s="191"/>
      <c r="F131" s="1"/>
      <c r="G131" s="274" t="s">
        <v>129</v>
      </c>
      <c r="H131" s="274"/>
      <c r="I131" s="138" t="s">
        <v>122</v>
      </c>
      <c r="J131" s="38">
        <f>SUMIF($C$67:$C$77,I131,$K$67:$K$77)</f>
        <v>0</v>
      </c>
      <c r="K131" s="38">
        <f>SUMIF($C$67:$C$77,I131,$L$67:$L$77)</f>
        <v>0</v>
      </c>
      <c r="L131" s="39" t="str">
        <f>IFERROR(K131/(J131+K131),"-")</f>
        <v>-</v>
      </c>
      <c r="M131" s="1"/>
    </row>
    <row r="132" spans="1:13" hidden="1" outlineLevel="1" x14ac:dyDescent="0.25">
      <c r="A132" s="1"/>
      <c r="B132" s="184"/>
      <c r="C132" s="264"/>
      <c r="D132" s="265"/>
      <c r="E132" s="191"/>
      <c r="F132" s="1"/>
      <c r="G132" s="274" t="s">
        <v>130</v>
      </c>
      <c r="H132" s="274"/>
      <c r="I132" s="138" t="s">
        <v>123</v>
      </c>
      <c r="J132" s="38">
        <f t="shared" ref="J132:J133" si="49">SUMIF($C$67:$C$77,I132,$K$67:$K$77)</f>
        <v>0</v>
      </c>
      <c r="K132" s="38">
        <f t="shared" ref="K132:K133" si="50">SUMIF($C$67:$C$77,I132,$L$67:$L$77)</f>
        <v>0</v>
      </c>
      <c r="L132" s="39" t="str">
        <f t="shared" ref="L132:L133" si="51">IFERROR(K132/(J132+K132),"-")</f>
        <v>-</v>
      </c>
      <c r="M132" s="1"/>
    </row>
    <row r="133" spans="1:13" hidden="1" outlineLevel="1" x14ac:dyDescent="0.25">
      <c r="A133" s="1"/>
      <c r="B133" s="184"/>
      <c r="C133" s="264"/>
      <c r="D133" s="265"/>
      <c r="E133" s="191"/>
      <c r="F133" s="1"/>
      <c r="G133" s="274" t="s">
        <v>131</v>
      </c>
      <c r="H133" s="274"/>
      <c r="I133" s="138" t="s">
        <v>124</v>
      </c>
      <c r="J133" s="38">
        <f t="shared" si="49"/>
        <v>0</v>
      </c>
      <c r="K133" s="38">
        <f t="shared" si="50"/>
        <v>0</v>
      </c>
      <c r="L133" s="39" t="str">
        <f t="shared" si="51"/>
        <v>-</v>
      </c>
      <c r="M133" s="1"/>
    </row>
    <row r="134" spans="1:13" s="1" customFormat="1" hidden="1" outlineLevel="1" x14ac:dyDescent="0.25">
      <c r="B134" s="183" t="s">
        <v>130</v>
      </c>
      <c r="C134" s="264"/>
      <c r="D134" s="265"/>
      <c r="E134" s="191"/>
      <c r="G134" s="164"/>
      <c r="H134" s="164"/>
      <c r="I134" s="177"/>
      <c r="J134" s="141"/>
      <c r="K134" s="141"/>
      <c r="L134" s="142"/>
    </row>
    <row r="135" spans="1:13" s="1" customFormat="1" hidden="1" outlineLevel="1" x14ac:dyDescent="0.25">
      <c r="B135" s="184"/>
      <c r="C135" s="264"/>
      <c r="D135" s="265"/>
      <c r="E135" s="191"/>
      <c r="G135" s="164"/>
      <c r="H135" s="164"/>
      <c r="I135" s="177"/>
      <c r="J135" s="141"/>
      <c r="K135" s="141"/>
      <c r="L135" s="142"/>
    </row>
    <row r="136" spans="1:13" s="1" customFormat="1" hidden="1" outlineLevel="1" x14ac:dyDescent="0.25">
      <c r="B136" s="184"/>
      <c r="C136" s="264"/>
      <c r="D136" s="265"/>
      <c r="E136" s="191"/>
      <c r="G136" s="164"/>
      <c r="H136" s="164"/>
      <c r="I136" s="177"/>
      <c r="J136" s="141"/>
      <c r="K136" s="141"/>
      <c r="L136" s="142"/>
    </row>
    <row r="137" spans="1:13" s="1" customFormat="1" hidden="1" outlineLevel="1" x14ac:dyDescent="0.25">
      <c r="B137" s="183" t="s">
        <v>131</v>
      </c>
      <c r="C137" s="264"/>
      <c r="D137" s="265"/>
      <c r="E137" s="191"/>
      <c r="G137" s="164"/>
      <c r="H137" s="164"/>
      <c r="I137" s="177"/>
      <c r="J137" s="141"/>
      <c r="K137" s="141"/>
      <c r="L137" s="142"/>
    </row>
    <row r="138" spans="1:13" s="1" customFormat="1" hidden="1" outlineLevel="1" x14ac:dyDescent="0.25">
      <c r="B138" s="184"/>
      <c r="C138" s="264"/>
      <c r="D138" s="265"/>
      <c r="E138" s="191"/>
      <c r="G138" s="164"/>
      <c r="H138" s="164"/>
      <c r="I138" s="177"/>
      <c r="J138" s="141"/>
      <c r="K138" s="141"/>
      <c r="L138" s="142"/>
    </row>
    <row r="139" spans="1:13" s="1" customFormat="1" hidden="1" outlineLevel="1" x14ac:dyDescent="0.25">
      <c r="B139" s="184"/>
      <c r="C139" s="264"/>
      <c r="D139" s="265"/>
      <c r="E139" s="191"/>
      <c r="G139" s="164"/>
      <c r="H139" s="164"/>
      <c r="I139" s="177"/>
      <c r="J139" s="141"/>
      <c r="K139" s="141"/>
      <c r="L139" s="142"/>
    </row>
    <row r="140" spans="1:13" hidden="1" outlineLevel="1" x14ac:dyDescent="0.25">
      <c r="A140" s="1"/>
      <c r="B140" s="184"/>
      <c r="C140" s="192"/>
      <c r="D140" s="193"/>
      <c r="E140" s="191"/>
      <c r="F140" s="1"/>
      <c r="G140" s="139"/>
      <c r="H140" s="139"/>
      <c r="I140" s="140"/>
      <c r="J140" s="141"/>
      <c r="K140" s="141"/>
      <c r="L140" s="142"/>
      <c r="M140" s="1"/>
    </row>
    <row r="141" spans="1:13" collapsed="1" x14ac:dyDescent="0.25">
      <c r="A141" s="1"/>
      <c r="B141" s="1"/>
      <c r="C141" s="1"/>
      <c r="D141" s="1"/>
      <c r="E141" s="1"/>
      <c r="F141" s="1"/>
      <c r="G141" s="1"/>
      <c r="H141" s="1"/>
      <c r="I141" s="1"/>
      <c r="J141" s="1"/>
      <c r="K141" s="1"/>
      <c r="L141" s="1"/>
      <c r="M141" s="1"/>
    </row>
    <row r="142" spans="1:13" x14ac:dyDescent="0.25">
      <c r="A142" s="1"/>
      <c r="B142" s="1"/>
      <c r="C142" s="1"/>
      <c r="D142" s="1"/>
      <c r="E142" s="1"/>
      <c r="F142" s="1"/>
      <c r="G142" s="1"/>
      <c r="H142" s="1"/>
      <c r="I142" s="1"/>
      <c r="J142" s="1"/>
      <c r="K142" s="1"/>
      <c r="L142" s="1"/>
      <c r="M142" s="1"/>
    </row>
    <row r="143" spans="1:13" ht="13.2" x14ac:dyDescent="0.25">
      <c r="A143" s="1"/>
      <c r="B143" s="276" t="s">
        <v>187</v>
      </c>
      <c r="C143" s="276"/>
      <c r="D143" s="276"/>
      <c r="E143" s="276"/>
      <c r="F143" s="276"/>
      <c r="G143" s="276"/>
      <c r="H143" s="276"/>
      <c r="I143" s="276"/>
      <c r="J143" s="1"/>
      <c r="K143" s="1"/>
      <c r="L143" s="1"/>
      <c r="M143" s="1"/>
    </row>
    <row r="144" spans="1:13" ht="14.4" customHeight="1" x14ac:dyDescent="0.25">
      <c r="A144" s="1"/>
      <c r="B144" s="277" t="s">
        <v>191</v>
      </c>
      <c r="C144" s="277"/>
      <c r="D144" s="277"/>
      <c r="E144" s="277"/>
      <c r="F144" s="277"/>
      <c r="G144" s="277"/>
      <c r="H144" s="277"/>
      <c r="I144" s="277"/>
      <c r="J144" s="1"/>
      <c r="K144" s="1"/>
      <c r="L144" s="1"/>
      <c r="M144" s="1"/>
    </row>
    <row r="145" spans="1:13" x14ac:dyDescent="0.25">
      <c r="A145" s="1"/>
      <c r="B145" s="277"/>
      <c r="C145" s="277"/>
      <c r="D145" s="277"/>
      <c r="E145" s="277"/>
      <c r="F145" s="277"/>
      <c r="G145" s="277"/>
      <c r="H145" s="277"/>
      <c r="I145" s="277"/>
      <c r="J145" s="1"/>
      <c r="K145" s="1"/>
      <c r="L145" s="1"/>
      <c r="M145" s="1"/>
    </row>
    <row r="146" spans="1:13" x14ac:dyDescent="0.25">
      <c r="A146" s="1"/>
      <c r="B146" s="266" t="s">
        <v>244</v>
      </c>
      <c r="C146" s="266"/>
      <c r="D146" s="269" t="s">
        <v>245</v>
      </c>
      <c r="E146" s="269"/>
      <c r="F146" s="266" t="s">
        <v>188</v>
      </c>
      <c r="G146" s="266"/>
      <c r="H146" s="269" t="s">
        <v>189</v>
      </c>
      <c r="I146" s="269"/>
      <c r="J146" s="269" t="s">
        <v>190</v>
      </c>
      <c r="K146" s="269"/>
      <c r="L146" s="1"/>
      <c r="M146" s="1"/>
    </row>
    <row r="147" spans="1:13" x14ac:dyDescent="0.25">
      <c r="A147" s="1"/>
      <c r="B147" s="1" t="str">
        <f>NPV_Bāze_I!B13</f>
        <v>Kapitālieguldījumu izmaksas</v>
      </c>
      <c r="C147" s="1"/>
      <c r="D147" s="163" t="str">
        <f>NPV_Bāze_II!B13</f>
        <v>Kapitālieguldījumu izmaksas</v>
      </c>
      <c r="E147" s="163"/>
      <c r="F147" s="1" t="str">
        <f>B147</f>
        <v>Kapitālieguldījumu izmaksas</v>
      </c>
      <c r="G147" s="1"/>
      <c r="H147" s="163" t="str">
        <f>NPV_PPP_koncesija!B13</f>
        <v>Kapitālieguldījumu izmaksas</v>
      </c>
      <c r="I147" s="163"/>
      <c r="J147" s="163" t="str">
        <f>NPV_PPP_institucionālā!B73</f>
        <v>Kapitālieguldījumu izmaksas</v>
      </c>
      <c r="K147" s="163"/>
      <c r="L147" s="1"/>
      <c r="M147" s="1"/>
    </row>
    <row r="148" spans="1:13" x14ac:dyDescent="0.25">
      <c r="A148" s="1"/>
      <c r="B148" s="1" t="str">
        <f>NPV_Bāze_I!B14</f>
        <v>1. Būvniecības izmaksas:</v>
      </c>
      <c r="C148" s="1"/>
      <c r="D148" s="163" t="str">
        <f>NPV_Bāze_II!B14</f>
        <v>1. Būvniecības izmaksas:</v>
      </c>
      <c r="E148" s="163"/>
      <c r="F148" s="1" t="str">
        <f t="shared" ref="F148:F159" si="52">B148</f>
        <v>1. Būvniecības izmaksas:</v>
      </c>
      <c r="G148" s="1"/>
      <c r="H148" s="163" t="str">
        <f>NPV_PPP_koncesija!B14</f>
        <v>Kapitālieguldījumu izmaksas 1</v>
      </c>
      <c r="I148" s="163"/>
      <c r="J148" s="163" t="str">
        <f>NPV_PPP_institucionālā!B74</f>
        <v>Kapitālieguldījumu izmaksas 1</v>
      </c>
      <c r="K148" s="163"/>
      <c r="L148" s="1"/>
      <c r="M148" s="1"/>
    </row>
    <row r="149" spans="1:13" x14ac:dyDescent="0.25">
      <c r="A149" s="1"/>
      <c r="B149" s="1" t="str">
        <f>NPV_Bāze_I!B15</f>
        <v>2. Pamatlīdzekļu iegāde</v>
      </c>
      <c r="C149" s="1"/>
      <c r="D149" s="163" t="str">
        <f>NPV_Bāze_II!B15</f>
        <v>Kapitālieguldījumu izmaksas 2</v>
      </c>
      <c r="E149" s="163"/>
      <c r="F149" s="1" t="str">
        <f t="shared" si="52"/>
        <v>2. Pamatlīdzekļu iegāde</v>
      </c>
      <c r="G149" s="1"/>
      <c r="H149" s="163" t="str">
        <f>NPV_PPP_koncesija!B15</f>
        <v>Kapitālieguldījumu izmaksas 2</v>
      </c>
      <c r="I149" s="163"/>
      <c r="J149" s="163" t="str">
        <f>NPV_PPP_institucionālā!B75</f>
        <v>Kapitālieguldījumu izmaksas 2</v>
      </c>
      <c r="K149" s="163"/>
      <c r="L149" s="1"/>
      <c r="M149" s="1"/>
    </row>
    <row r="150" spans="1:13" x14ac:dyDescent="0.25">
      <c r="A150" s="1"/>
      <c r="B150" s="1" t="str">
        <f>NPV_Bāze_I!B19</f>
        <v>Projekta īstenošanas izmaksas</v>
      </c>
      <c r="C150" s="1"/>
      <c r="D150" s="163" t="str">
        <f>NPV_Bāze_II!B16</f>
        <v>Kapitālieguldījumu izmaksas 3</v>
      </c>
      <c r="E150" s="163"/>
      <c r="F150" s="1" t="str">
        <f t="shared" si="52"/>
        <v>Projekta īstenošanas izmaksas</v>
      </c>
      <c r="G150" s="1"/>
      <c r="H150" s="163" t="str">
        <f>NPV_PPP_koncesija!B16</f>
        <v>Kapitālieguldījumu izmaksas 3</v>
      </c>
      <c r="I150" s="163"/>
      <c r="J150" s="163" t="str">
        <f>NPV_PPP_institucionālā!B76</f>
        <v>Kapitālieguldījumu izmaksas 3</v>
      </c>
      <c r="K150" s="163"/>
      <c r="L150" s="1"/>
      <c r="M150" s="1"/>
    </row>
    <row r="151" spans="1:13" x14ac:dyDescent="0.25">
      <c r="A151" s="1"/>
      <c r="B151" s="1" t="str">
        <f>NPV_Bāze_I!B20</f>
        <v>Mainīgās izmaksas</v>
      </c>
      <c r="C151" s="1"/>
      <c r="D151" s="163" t="str">
        <f>NPV_Bāze_II!B17</f>
        <v>…</v>
      </c>
      <c r="E151" s="163"/>
      <c r="F151" s="1" t="str">
        <f t="shared" si="52"/>
        <v>Mainīgās izmaksas</v>
      </c>
      <c r="G151" s="1"/>
      <c r="H151" s="163" t="str">
        <f>NPV_PPP_koncesija!B17</f>
        <v>…</v>
      </c>
      <c r="I151" s="163"/>
      <c r="J151" s="163" t="str">
        <f>NPV_PPP_institucionālā!B77</f>
        <v>…</v>
      </c>
      <c r="K151" s="163"/>
      <c r="L151" s="1"/>
      <c r="M151" s="1"/>
    </row>
    <row r="152" spans="1:13" x14ac:dyDescent="0.25">
      <c r="A152" s="1"/>
      <c r="B152" s="1" t="str">
        <f>NPV_Bāze_I!B21</f>
        <v>1. Personāla izmaksas</v>
      </c>
      <c r="C152" s="1"/>
      <c r="D152" s="163" t="str">
        <f>NPV_Bāze_II!B19</f>
        <v>Projekta īstenošanas izmaksas</v>
      </c>
      <c r="E152" s="163"/>
      <c r="F152" s="1" t="str">
        <f t="shared" si="52"/>
        <v>1. Personāla izmaksas</v>
      </c>
      <c r="G152" s="1"/>
      <c r="H152" s="163" t="str">
        <f>NPV_PPP_koncesija!B19</f>
        <v>Projekta īstenošanas izmaksas</v>
      </c>
      <c r="I152" s="163"/>
      <c r="J152" s="163" t="str">
        <f>NPV_PPP_institucionālā!B79</f>
        <v>Projekta īstenošanas izmaksas</v>
      </c>
      <c r="K152" s="163"/>
      <c r="L152" s="1"/>
      <c r="M152" s="1"/>
    </row>
    <row r="153" spans="1:13" x14ac:dyDescent="0.25">
      <c r="A153" s="1"/>
      <c r="B153" s="1" t="str">
        <f>NPV_Bāze_I!B22</f>
        <v>2. Ēdināšana</v>
      </c>
      <c r="C153" s="1"/>
      <c r="D153" s="163" t="str">
        <f>NPV_Bāze_II!B20</f>
        <v>Mainīgās izmaksas</v>
      </c>
      <c r="E153" s="163"/>
      <c r="F153" s="1" t="str">
        <f t="shared" si="52"/>
        <v>2. Ēdināšana</v>
      </c>
      <c r="G153" s="1"/>
      <c r="H153" s="163" t="str">
        <f>NPV_PPP_koncesija!B20</f>
        <v>Mainīgās izmaksas</v>
      </c>
      <c r="I153" s="163"/>
      <c r="J153" s="163" t="str">
        <f>NPV_PPP_institucionālā!B80</f>
        <v>Mainīgās izmaksas</v>
      </c>
      <c r="K153" s="163"/>
      <c r="L153" s="1"/>
      <c r="M153" s="1"/>
    </row>
    <row r="154" spans="1:13" x14ac:dyDescent="0.25">
      <c r="A154" s="1"/>
      <c r="B154" s="1" t="str">
        <f>NPV_Bāze_I!B25</f>
        <v>Fiksētās izmaksas</v>
      </c>
      <c r="C154" s="1"/>
      <c r="D154" s="163" t="str">
        <f>NPV_Bāze_II!B21</f>
        <v>Mainīgās īstenošanas izmaksas 1</v>
      </c>
      <c r="E154" s="163"/>
      <c r="F154" s="1" t="str">
        <f t="shared" si="52"/>
        <v>Fiksētās izmaksas</v>
      </c>
      <c r="G154" s="1"/>
      <c r="H154" s="163" t="str">
        <f>NPV_PPP_koncesija!B21</f>
        <v>Mainīgās īstenošanas izmaksas 1</v>
      </c>
      <c r="I154" s="163"/>
      <c r="J154" s="163" t="str">
        <f>NPV_PPP_institucionālā!B81</f>
        <v>Mainīgās īstenošanas izmaksas 1</v>
      </c>
      <c r="K154" s="163"/>
      <c r="L154" s="1"/>
      <c r="M154" s="1"/>
    </row>
    <row r="155" spans="1:13" x14ac:dyDescent="0.25">
      <c r="A155" s="1"/>
      <c r="B155" s="1" t="str">
        <f>NPV_Bāze_I!B26</f>
        <v>1. Aktīvu nolietojums</v>
      </c>
      <c r="C155" s="1"/>
      <c r="D155" s="163" t="str">
        <f>NPV_Bāze_II!B22</f>
        <v>Mainīgās īstenošanas izmaksas 2</v>
      </c>
      <c r="E155" s="163"/>
      <c r="F155" s="1" t="str">
        <f t="shared" si="52"/>
        <v>1. Aktīvu nolietojums</v>
      </c>
      <c r="G155" s="1"/>
      <c r="H155" s="163" t="str">
        <f>NPV_PPP_koncesija!B22</f>
        <v>Mainīgās īstenošanas izmaksas 2</v>
      </c>
      <c r="I155" s="163"/>
      <c r="J155" s="163" t="str">
        <f>NPV_PPP_institucionālā!B82</f>
        <v>Mainīgās īstenošanas izmaksas 2</v>
      </c>
      <c r="K155" s="163"/>
      <c r="L155" s="1"/>
      <c r="M155" s="1"/>
    </row>
    <row r="156" spans="1:13" x14ac:dyDescent="0.25">
      <c r="A156" s="1"/>
      <c r="B156" s="1" t="str">
        <f>NPV_Bāze_I!B27</f>
        <v>2. Ēku uzturēšana un remonti</v>
      </c>
      <c r="C156" s="1"/>
      <c r="D156" s="163" t="str">
        <f>NPV_Bāze_II!B23</f>
        <v>Mainīgās īstenošanas izmaksas 3</v>
      </c>
      <c r="E156" s="163"/>
      <c r="F156" s="1" t="str">
        <f t="shared" si="52"/>
        <v>2. Ēku uzturēšana un remonti</v>
      </c>
      <c r="G156" s="1"/>
      <c r="H156" s="163" t="str">
        <f>NPV_PPP_koncesija!B23</f>
        <v>Mainīgās īstenošanas izmaksas 3</v>
      </c>
      <c r="I156" s="163"/>
      <c r="J156" s="163" t="str">
        <f>NPV_PPP_institucionālā!B83</f>
        <v>Mainīgās īstenošanas izmaksas 3</v>
      </c>
      <c r="K156" s="163"/>
      <c r="L156" s="1"/>
      <c r="M156" s="1"/>
    </row>
    <row r="157" spans="1:13" x14ac:dyDescent="0.25">
      <c r="A157" s="1"/>
      <c r="B157" s="1" t="str">
        <f>NPV_Bāze_I!B31</f>
        <v>Projekta ieņēmumi</v>
      </c>
      <c r="C157" s="1"/>
      <c r="D157" s="163" t="str">
        <f>NPV_Bāze_II!B24</f>
        <v>…</v>
      </c>
      <c r="E157" s="163"/>
      <c r="F157" s="1" t="str">
        <f t="shared" si="52"/>
        <v>Projekta ieņēmumi</v>
      </c>
      <c r="G157" s="1"/>
      <c r="H157" s="163" t="str">
        <f>NPV_PPP_koncesija!B24</f>
        <v>…</v>
      </c>
      <c r="I157" s="163"/>
      <c r="J157" s="163" t="str">
        <f>NPV_PPP_institucionālā!B84</f>
        <v>…</v>
      </c>
      <c r="K157" s="163"/>
      <c r="L157" s="1"/>
      <c r="M157" s="1"/>
    </row>
    <row r="158" spans="1:13" x14ac:dyDescent="0.25">
      <c r="A158" s="1"/>
      <c r="B158" s="1" t="str">
        <f>NPV_Bāze_I!B32</f>
        <v>Ieņēmumi no klientiem</v>
      </c>
      <c r="C158" s="1"/>
      <c r="D158" s="163" t="str">
        <f>NPV_Bāze_II!B25</f>
        <v>Fiksētās izmaksas</v>
      </c>
      <c r="E158" s="163"/>
      <c r="F158" s="1" t="str">
        <f t="shared" si="52"/>
        <v>Ieņēmumi no klientiem</v>
      </c>
      <c r="G158" s="1"/>
      <c r="H158" s="163" t="str">
        <f>NPV_PPP_koncesija!B25</f>
        <v>Fiksētās izmaksas</v>
      </c>
      <c r="I158" s="163"/>
      <c r="J158" s="163" t="str">
        <f>NPV_PPP_institucionālā!B85</f>
        <v>Fiksētās izmaksas</v>
      </c>
      <c r="K158" s="163"/>
      <c r="L158" s="1"/>
      <c r="M158" s="1"/>
    </row>
    <row r="159" spans="1:13" x14ac:dyDescent="0.25">
      <c r="A159" s="1"/>
      <c r="B159" s="1" t="str">
        <f>NPV_Bāze_I!B33</f>
        <v>Pašvaldības līdzmaksājums</v>
      </c>
      <c r="C159" s="1"/>
      <c r="D159" s="163" t="str">
        <f>NPV_Bāze_II!B26</f>
        <v>Fiksētās īstenošanas izmaksas 1</v>
      </c>
      <c r="E159" s="163"/>
      <c r="F159" s="1" t="str">
        <f t="shared" si="52"/>
        <v>Pašvaldības līdzmaksājums</v>
      </c>
      <c r="G159" s="1"/>
      <c r="H159" s="163" t="str">
        <f>NPV_PPP_koncesija!B26</f>
        <v>Fiksētās īstenošanas izmaksas 1</v>
      </c>
      <c r="I159" s="163"/>
      <c r="J159" s="163" t="str">
        <f>NPV_PPP_institucionālā!B86</f>
        <v>Fiksētās īstenošanas izmaksas 1</v>
      </c>
      <c r="K159" s="163"/>
      <c r="L159" s="1"/>
      <c r="M159" s="1"/>
    </row>
    <row r="160" spans="1:13" x14ac:dyDescent="0.25">
      <c r="A160" s="1"/>
      <c r="B160" s="1"/>
      <c r="C160" s="1"/>
      <c r="D160" s="163" t="str">
        <f>NPV_Bāze_II!B27</f>
        <v>Fiksētās īstenošanas izmaksas 2</v>
      </c>
      <c r="E160" s="163"/>
      <c r="F160" s="1"/>
      <c r="G160" s="1"/>
      <c r="H160" s="163" t="str">
        <f>NPV_PPP_koncesija!B27</f>
        <v>Fiksētās īstenošanas izmaksas 2</v>
      </c>
      <c r="I160" s="163"/>
      <c r="J160" s="163" t="str">
        <f>NPV_PPP_institucionālā!B87</f>
        <v>Fiksētās īstenošanas izmaksas 2</v>
      </c>
      <c r="K160" s="163"/>
      <c r="L160" s="1"/>
      <c r="M160" s="1"/>
    </row>
    <row r="161" spans="1:13" x14ac:dyDescent="0.25">
      <c r="A161" s="1"/>
      <c r="B161" s="1"/>
      <c r="C161" s="1"/>
      <c r="D161" s="163" t="str">
        <f>NPV_Bāze_II!B28</f>
        <v>Fiksētās īstenošanas izmaksas 3</v>
      </c>
      <c r="E161" s="163"/>
      <c r="F161" s="1"/>
      <c r="G161" s="1"/>
      <c r="H161" s="163" t="str">
        <f>NPV_PPP_koncesija!B28</f>
        <v>Fiksētās īstenošanas izmaksas 3</v>
      </c>
      <c r="I161" s="163"/>
      <c r="J161" s="163" t="str">
        <f>NPV_PPP_institucionālā!B88</f>
        <v>Fiksētās īstenošanas izmaksas 3</v>
      </c>
      <c r="K161" s="163"/>
      <c r="L161" s="1"/>
      <c r="M161" s="1"/>
    </row>
    <row r="162" spans="1:13" x14ac:dyDescent="0.25">
      <c r="A162" s="1"/>
      <c r="B162" s="1"/>
      <c r="C162" s="1"/>
      <c r="D162" s="163" t="str">
        <f>NPV_Bāze_II!B29</f>
        <v>…</v>
      </c>
      <c r="E162" s="163"/>
      <c r="F162" s="1"/>
      <c r="G162" s="1"/>
      <c r="H162" s="163" t="str">
        <f>NPV_PPP_koncesija!B29</f>
        <v>…</v>
      </c>
      <c r="I162" s="163"/>
      <c r="J162" s="163" t="str">
        <f>NPV_PPP_institucionālā!B89</f>
        <v>…</v>
      </c>
      <c r="K162" s="163"/>
      <c r="L162" s="1"/>
      <c r="M162" s="1"/>
    </row>
    <row r="163" spans="1:13" x14ac:dyDescent="0.25">
      <c r="A163" s="1"/>
      <c r="B163" s="1"/>
      <c r="C163" s="1"/>
      <c r="D163" s="163" t="str">
        <f>NPV_Bāze_II!B31</f>
        <v>Projekta ieņēmumi</v>
      </c>
      <c r="E163" s="163"/>
      <c r="F163" s="1"/>
      <c r="G163" s="1"/>
      <c r="H163" s="240" t="str">
        <f>NPV_PPP_koncesija!B33</f>
        <v>Projekta ieņēmumi</v>
      </c>
      <c r="I163" s="163"/>
      <c r="J163" s="163" t="str">
        <f>NPV_PPP_institucionālā!B94</f>
        <v>Publiskā partnera peļņas daļa</v>
      </c>
      <c r="K163" s="163"/>
      <c r="L163" s="1"/>
      <c r="M163" s="1"/>
    </row>
    <row r="164" spans="1:13" x14ac:dyDescent="0.25">
      <c r="A164" s="1"/>
      <c r="B164" s="1"/>
      <c r="C164" s="1"/>
      <c r="D164" s="163" t="str">
        <f>NPV_Bāze_II!B32</f>
        <v>Ieņēmumi 1</v>
      </c>
      <c r="E164" s="163"/>
      <c r="F164" s="1"/>
      <c r="G164" s="1"/>
      <c r="H164" s="240" t="str">
        <f>NPV_PPP_koncesija!B51</f>
        <v>Publiskā partnera maksājumi privātajam partnerim</v>
      </c>
      <c r="I164" s="163"/>
      <c r="J164" s="163" t="str">
        <f>NPV_PPP_institucionālā!B57</f>
        <v>Publiskā partnera maksājumi privātajam dalībniekam</v>
      </c>
      <c r="K164" s="163"/>
      <c r="L164" s="1"/>
      <c r="M164" s="1"/>
    </row>
    <row r="165" spans="1:13" x14ac:dyDescent="0.25">
      <c r="A165" s="1"/>
      <c r="B165" s="1"/>
      <c r="C165" s="1"/>
      <c r="D165" s="163" t="str">
        <f>NPV_Bāze_II!B33</f>
        <v>Ieņēmumi 2</v>
      </c>
      <c r="E165" s="163"/>
      <c r="F165" s="1"/>
      <c r="G165" s="1"/>
      <c r="H165" s="240" t="str">
        <f>NPV_PPP_koncesija!B35</f>
        <v>Ieņēmumi 2</v>
      </c>
      <c r="I165" s="163"/>
      <c r="J165" s="163" t="str">
        <f>NPV_PPP_institucionālā!B13</f>
        <v>Projekta ieņēmumi</v>
      </c>
      <c r="K165" s="163"/>
      <c r="L165" s="1"/>
      <c r="M165" s="1"/>
    </row>
    <row r="166" spans="1:13" x14ac:dyDescent="0.25">
      <c r="A166" s="1"/>
      <c r="B166" s="1"/>
      <c r="C166" s="1"/>
      <c r="D166" s="163" t="str">
        <f>NPV_Bāze_II!B34</f>
        <v>Ieņēmumi 3</v>
      </c>
      <c r="E166" s="163"/>
      <c r="F166" s="1"/>
      <c r="G166" s="1"/>
      <c r="H166" s="240" t="str">
        <f>NPV_PPP_koncesija!B36</f>
        <v>Ieņēmumi 3</v>
      </c>
      <c r="I166" s="163"/>
      <c r="J166" s="163" t="str">
        <f>NPV_PPP_institucionālā!B14</f>
        <v>Ieņēmumi 1</v>
      </c>
      <c r="K166" s="163"/>
      <c r="L166" s="1"/>
      <c r="M166" s="1"/>
    </row>
    <row r="167" spans="1:13" x14ac:dyDescent="0.25">
      <c r="A167" s="1"/>
      <c r="B167" s="1"/>
      <c r="C167" s="1"/>
      <c r="D167" s="1"/>
      <c r="E167" s="1"/>
      <c r="F167" s="1"/>
      <c r="G167" s="1"/>
      <c r="H167" s="240" t="str">
        <f>NPV_PPP_koncesija!B37</f>
        <v>…</v>
      </c>
      <c r="I167" s="163"/>
      <c r="J167" s="163" t="str">
        <f>NPV_PPP_institucionālā!B15</f>
        <v>Ieņēmumi 2</v>
      </c>
      <c r="K167" s="163"/>
      <c r="L167" s="1"/>
      <c r="M167" s="1"/>
    </row>
    <row r="168" spans="1:13" x14ac:dyDescent="0.25">
      <c r="A168" s="1"/>
      <c r="B168" s="1"/>
      <c r="C168" s="1"/>
      <c r="D168" s="1"/>
      <c r="E168" s="1"/>
      <c r="F168" s="1"/>
      <c r="G168" s="1"/>
      <c r="H168" s="163"/>
      <c r="I168" s="163"/>
      <c r="J168" s="163" t="str">
        <f>NPV_PPP_institucionālā!B16</f>
        <v>Ieņēmumi 3</v>
      </c>
      <c r="K168" s="163"/>
      <c r="L168" s="1"/>
      <c r="M168" s="1"/>
    </row>
    <row r="169" spans="1:13" x14ac:dyDescent="0.25">
      <c r="A169" s="1"/>
      <c r="B169" s="1"/>
      <c r="C169" s="1"/>
      <c r="D169" s="1"/>
      <c r="E169" s="1"/>
      <c r="F169" s="1"/>
      <c r="G169" s="1"/>
      <c r="H169" s="163"/>
      <c r="I169" s="163"/>
      <c r="J169" s="163" t="str">
        <f>NPV_PPP_institucionālā!B17</f>
        <v>…</v>
      </c>
      <c r="K169" s="163"/>
      <c r="L169" s="1"/>
      <c r="M169" s="1"/>
    </row>
    <row r="170" spans="1:13" x14ac:dyDescent="0.25">
      <c r="A170" s="1"/>
      <c r="B170" s="1"/>
      <c r="C170" s="1"/>
      <c r="D170" s="1"/>
      <c r="E170" s="1"/>
      <c r="F170" s="1"/>
      <c r="G170" s="1"/>
      <c r="H170" s="1"/>
      <c r="I170" s="1"/>
      <c r="J170" s="1"/>
      <c r="K170" s="1"/>
      <c r="L170" s="1"/>
      <c r="M170" s="1"/>
    </row>
    <row r="171" spans="1:13" x14ac:dyDescent="0.25">
      <c r="A171" s="1"/>
      <c r="B171" s="1"/>
      <c r="C171" s="1"/>
      <c r="D171" s="1"/>
      <c r="E171" s="1"/>
      <c r="F171" s="1"/>
      <c r="G171" s="1"/>
      <c r="H171" s="1"/>
      <c r="I171" s="1"/>
      <c r="J171" s="1"/>
      <c r="K171" s="1"/>
      <c r="L171" s="1"/>
      <c r="M171" s="1"/>
    </row>
  </sheetData>
  <mergeCells count="84">
    <mergeCell ref="G84:I84"/>
    <mergeCell ref="J146:K146"/>
    <mergeCell ref="B2:L2"/>
    <mergeCell ref="C34:L34"/>
    <mergeCell ref="G120:H120"/>
    <mergeCell ref="B80:L80"/>
    <mergeCell ref="C49:L49"/>
    <mergeCell ref="C64:L64"/>
    <mergeCell ref="C4:L4"/>
    <mergeCell ref="G107:H107"/>
    <mergeCell ref="G108:H108"/>
    <mergeCell ref="G109:H109"/>
    <mergeCell ref="G118:I118"/>
    <mergeCell ref="G119:H119"/>
    <mergeCell ref="G85:H85"/>
    <mergeCell ref="G86:H86"/>
    <mergeCell ref="G106:I106"/>
    <mergeCell ref="B146:C146"/>
    <mergeCell ref="B143:I143"/>
    <mergeCell ref="B144:I145"/>
    <mergeCell ref="G121:H121"/>
    <mergeCell ref="G130:I130"/>
    <mergeCell ref="G131:H131"/>
    <mergeCell ref="G132:H132"/>
    <mergeCell ref="G133:H133"/>
    <mergeCell ref="H146:I146"/>
    <mergeCell ref="C134:D134"/>
    <mergeCell ref="C135:D135"/>
    <mergeCell ref="C136:D136"/>
    <mergeCell ref="C126:D126"/>
    <mergeCell ref="C128:D128"/>
    <mergeCell ref="C19:L19"/>
    <mergeCell ref="G95:I95"/>
    <mergeCell ref="G96:H96"/>
    <mergeCell ref="G97:H97"/>
    <mergeCell ref="G98:H98"/>
    <mergeCell ref="C85:D85"/>
    <mergeCell ref="C86:D86"/>
    <mergeCell ref="C87:D87"/>
    <mergeCell ref="C88:D88"/>
    <mergeCell ref="C89:D89"/>
    <mergeCell ref="C90:D90"/>
    <mergeCell ref="C91:D91"/>
    <mergeCell ref="C93:D93"/>
    <mergeCell ref="C84:D84"/>
    <mergeCell ref="B82:E82"/>
    <mergeCell ref="G87:H87"/>
    <mergeCell ref="C131:D131"/>
    <mergeCell ref="C132:D132"/>
    <mergeCell ref="C133:D133"/>
    <mergeCell ref="C96:D96"/>
    <mergeCell ref="C97:D97"/>
    <mergeCell ref="C98:D98"/>
    <mergeCell ref="C99:D99"/>
    <mergeCell ref="C125:D125"/>
    <mergeCell ref="C100:D100"/>
    <mergeCell ref="C101:D101"/>
    <mergeCell ref="C102:D102"/>
    <mergeCell ref="C103:D103"/>
    <mergeCell ref="C104:D104"/>
    <mergeCell ref="C107:D107"/>
    <mergeCell ref="C108:D108"/>
    <mergeCell ref="C109:D109"/>
    <mergeCell ref="C110:D110"/>
    <mergeCell ref="C111:D111"/>
    <mergeCell ref="C112:D112"/>
    <mergeCell ref="C113:D113"/>
    <mergeCell ref="C115:D115"/>
    <mergeCell ref="C116:D116"/>
    <mergeCell ref="C119:D119"/>
    <mergeCell ref="F146:G146"/>
    <mergeCell ref="C106:D106"/>
    <mergeCell ref="C95:D95"/>
    <mergeCell ref="D146:E146"/>
    <mergeCell ref="C137:D137"/>
    <mergeCell ref="C138:D138"/>
    <mergeCell ref="C139:D139"/>
    <mergeCell ref="C118:D118"/>
    <mergeCell ref="C130:D130"/>
    <mergeCell ref="C120:D120"/>
    <mergeCell ref="C121:D121"/>
    <mergeCell ref="C122:D122"/>
    <mergeCell ref="C123:D123"/>
    <mergeCell ref="C124:D124"/>
  </mergeCells>
  <dataValidations count="7">
    <dataValidation type="list" allowBlank="1" showInputMessage="1" showErrorMessage="1" sqref="C7:C11 C73:C77 C67:C71 C58:C62 C52:C56 C43:C47 C37:C41 C13:C17 C22:C26 C28:C32" xr:uid="{00000000-0002-0000-0700-000000000000}">
      <formula1>$N$4:$N$6</formula1>
    </dataValidation>
    <dataValidation type="list" allowBlank="1" showInputMessage="1" showErrorMessage="1" sqref="D22:D32 D17 D9:D12" xr:uid="{00000000-0002-0000-0700-000001000000}">
      <formula1>$B$147:$B$167</formula1>
    </dataValidation>
    <dataValidation type="list" allowBlank="1" showInputMessage="1" showErrorMessage="1" sqref="D42" xr:uid="{00000000-0002-0000-0700-000002000000}">
      <formula1>$F$147:$F$167</formula1>
    </dataValidation>
    <dataValidation type="list" allowBlank="1" showInputMessage="1" showErrorMessage="1" sqref="D52:D62" xr:uid="{00000000-0002-0000-0700-000003000000}">
      <formula1>H$147:H$167</formula1>
    </dataValidation>
    <dataValidation type="list" allowBlank="1" showInputMessage="1" showErrorMessage="1" sqref="D67:D77" xr:uid="{00000000-0002-0000-0700-000004000000}">
      <formula1>$J$147:$J$169</formula1>
    </dataValidation>
    <dataValidation type="list" allowBlank="1" showInputMessage="1" showErrorMessage="1" sqref="D7:D8 D13:D16" xr:uid="{E5F6FE66-D9AA-424A-8ED5-D7317000FCFE}">
      <formula1>$B$147:$B$159</formula1>
    </dataValidation>
    <dataValidation type="list" allowBlank="1" showInputMessage="1" showErrorMessage="1" sqref="D37:D41 D43:D47" xr:uid="{41E21EC2-5028-4E06-A9FA-746FA8EF3BB1}">
      <formula1>$F$147:$F$159</formula1>
    </dataValidation>
  </dataValidations>
  <pageMargins left="0.7" right="0.7" top="0.75" bottom="0.75" header="0.3" footer="0.3"/>
  <pageSetup paperSize="9" scale="58" orientation="portrait" r:id="rId1"/>
  <rowBreaks count="1" manualBreakCount="1">
    <brk id="7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Titullapa</vt:lpstr>
      <vt:lpstr>Pieņēmumi</vt:lpstr>
      <vt:lpstr>Projekts</vt:lpstr>
      <vt:lpstr>NPV_Bāze_I</vt:lpstr>
      <vt:lpstr>NPV_Bāze_II</vt:lpstr>
      <vt:lpstr>NPV_PPP_partnerība</vt:lpstr>
      <vt:lpstr>NPV_PPP_koncesija</vt:lpstr>
      <vt:lpstr>NPV_PPP_institucionālā</vt:lpstr>
      <vt:lpstr>Risku analīze</vt:lpstr>
      <vt:lpstr>Jutīguma analīze</vt:lpstr>
      <vt:lpstr>IAV</vt:lpstr>
      <vt:lpstr>Statistiskā uzskaite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2020-08-17T22:30:59Z</dcterms:created>
  <dcterms:modified xsi:type="dcterms:W3CDTF">2021-06-18T18:18:22Z</dcterms:modified>
</cp:coreProperties>
</file>